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AR\Desktop\"/>
    </mc:Choice>
  </mc:AlternateContent>
  <xr:revisionPtr revIDLastSave="0" documentId="8_{BE38D340-2AA6-4A47-A789-2DF838691DA1}" xr6:coauthVersionLast="47" xr6:coauthVersionMax="47" xr10:uidLastSave="{00000000-0000-0000-0000-000000000000}"/>
  <bookViews>
    <workbookView xWindow="-108" yWindow="-108" windowWidth="23256" windowHeight="12456" tabRatio="990" activeTab="4" xr2:uid="{00000000-000D-0000-FFFF-FFFF00000000}"/>
  </bookViews>
  <sheets>
    <sheet name="変更記録" sheetId="31" r:id="rId1"/>
    <sheet name="使用法" sheetId="13" r:id="rId2"/>
    <sheet name="保護2kg" sheetId="4" r:id="rId3"/>
    <sheet name="保護4.2kg" sheetId="18" r:id="rId4"/>
    <sheet name="保護断熱2kg" sheetId="11" r:id="rId5"/>
    <sheet name="保護断熱4.2kg" sheetId="30" r:id="rId6"/>
    <sheet name="露出密着2kg" sheetId="2" r:id="rId7"/>
    <sheet name="露出密着 4kg" sheetId="21" r:id="rId8"/>
    <sheet name="露出絶縁2kg" sheetId="22" r:id="rId9"/>
    <sheet name="露出絶縁4kg" sheetId="23" r:id="rId10"/>
    <sheet name="砂付きｱｽﾌｧﾙﾄ改修" sheetId="24" r:id="rId11"/>
    <sheet name="地下防水2kg" sheetId="6" r:id="rId12"/>
    <sheet name="地下防水6.5kg" sheetId="19" r:id="rId13"/>
    <sheet name="金属屋根 (遮熱) " sheetId="25" r:id="rId14"/>
    <sheet name="金属屋根(硅砂）" sheetId="26" r:id="rId15"/>
    <sheet name="金属屋根(高耐久）" sheetId="27" r:id="rId16"/>
    <sheet name="金属屋根(高耐久遮熱）" sheetId="28" r:id="rId17"/>
    <sheet name="シングル回復" sheetId="12" r:id="rId18"/>
    <sheet name="床版橋面(土木）" sheetId="14" r:id="rId19"/>
  </sheets>
  <definedNames>
    <definedName name="_xlnm.Print_Area" localSheetId="6">露出密着2kg!$A$1:$M$37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24" l="1"/>
  <c r="G19" i="23"/>
  <c r="G19" i="22"/>
  <c r="G20" i="2"/>
  <c r="G20" i="21"/>
  <c r="G11" i="2"/>
  <c r="F22" i="18"/>
  <c r="G22" i="18" s="1"/>
  <c r="J22" i="18" s="1"/>
  <c r="F11" i="4"/>
  <c r="F19" i="4" s="1"/>
  <c r="F15" i="12"/>
  <c r="F12" i="25"/>
  <c r="F13" i="28"/>
  <c r="F12" i="30"/>
  <c r="F20" i="30" s="1"/>
  <c r="F13" i="30"/>
  <c r="F23" i="30" s="1"/>
  <c r="G23" i="30" s="1"/>
  <c r="J23" i="30" s="1"/>
  <c r="F21" i="30"/>
  <c r="F25" i="30"/>
  <c r="G25" i="30"/>
  <c r="J25" i="30" s="1"/>
  <c r="F26" i="30"/>
  <c r="G26" i="30" s="1"/>
  <c r="J26" i="30" s="1"/>
  <c r="F27" i="30"/>
  <c r="G27" i="30" s="1"/>
  <c r="J27" i="30" s="1"/>
  <c r="F18" i="19"/>
  <c r="F18" i="6"/>
  <c r="F12" i="12"/>
  <c r="I12" i="12" s="1"/>
  <c r="F19" i="19"/>
  <c r="F11" i="6"/>
  <c r="F22" i="6" s="1"/>
  <c r="G22" i="6" s="1"/>
  <c r="J22" i="6" s="1"/>
  <c r="F19" i="6"/>
  <c r="F12" i="4"/>
  <c r="F18" i="4" s="1"/>
  <c r="F13" i="27"/>
  <c r="F12" i="27"/>
  <c r="I12" i="27" s="1"/>
  <c r="I14" i="27" s="1"/>
  <c r="I15" i="27" s="1"/>
  <c r="I13" i="28"/>
  <c r="F12" i="28"/>
  <c r="I12" i="28"/>
  <c r="J4" i="28"/>
  <c r="F11" i="28"/>
  <c r="I11" i="28"/>
  <c r="I14" i="28" s="1"/>
  <c r="I15" i="28" s="1"/>
  <c r="J4" i="27"/>
  <c r="F11" i="27"/>
  <c r="I11" i="27"/>
  <c r="I13" i="27"/>
  <c r="F11" i="26"/>
  <c r="I11" i="26" s="1"/>
  <c r="I13" i="26" s="1"/>
  <c r="I14" i="26" s="1"/>
  <c r="F11" i="25"/>
  <c r="I11" i="25"/>
  <c r="I13" i="25" s="1"/>
  <c r="I14" i="25" s="1"/>
  <c r="J4" i="25"/>
  <c r="I12" i="25"/>
  <c r="J4" i="26"/>
  <c r="F12" i="26"/>
  <c r="I12" i="26" s="1"/>
  <c r="F14" i="12"/>
  <c r="I14" i="12"/>
  <c r="I15" i="12"/>
  <c r="F11" i="12"/>
  <c r="I11" i="12"/>
  <c r="J4" i="12"/>
  <c r="F13" i="12"/>
  <c r="I13" i="12" s="1"/>
  <c r="G12" i="24"/>
  <c r="G24" i="24" s="1"/>
  <c r="I24" i="24" s="1"/>
  <c r="L24" i="24" s="1"/>
  <c r="G10" i="24"/>
  <c r="E30" i="13"/>
  <c r="E29" i="13"/>
  <c r="F13" i="14"/>
  <c r="F19" i="14" s="1"/>
  <c r="F12" i="14"/>
  <c r="F22" i="14" s="1"/>
  <c r="G22" i="14" s="1"/>
  <c r="J22" i="14" s="1"/>
  <c r="H4" i="6"/>
  <c r="F11" i="19"/>
  <c r="F23" i="19"/>
  <c r="G23" i="19"/>
  <c r="J23" i="19" s="1"/>
  <c r="H4" i="19"/>
  <c r="F23" i="4"/>
  <c r="G23" i="4" s="1"/>
  <c r="J23" i="4" s="1"/>
  <c r="F24" i="4"/>
  <c r="G24" i="4" s="1"/>
  <c r="J24" i="4" s="1"/>
  <c r="F12" i="18"/>
  <c r="F21" i="18" s="1"/>
  <c r="G21" i="18" s="1"/>
  <c r="J21" i="18" s="1"/>
  <c r="F11" i="18"/>
  <c r="F19" i="18" s="1"/>
  <c r="F23" i="18"/>
  <c r="G23" i="18"/>
  <c r="J23" i="18" s="1"/>
  <c r="F24" i="18"/>
  <c r="G24" i="18" s="1"/>
  <c r="J24" i="18" s="1"/>
  <c r="F21" i="11"/>
  <c r="F13" i="11"/>
  <c r="F18" i="11" s="1"/>
  <c r="G18" i="11" s="1"/>
  <c r="J18" i="11" s="1"/>
  <c r="F17" i="11"/>
  <c r="F12" i="11"/>
  <c r="F20" i="11" s="1"/>
  <c r="G19" i="11" s="1"/>
  <c r="J19" i="11" s="1"/>
  <c r="F26" i="11"/>
  <c r="G26" i="11"/>
  <c r="J26" i="11" s="1"/>
  <c r="F25" i="11"/>
  <c r="G25" i="11"/>
  <c r="J25" i="11" s="1"/>
  <c r="F27" i="11"/>
  <c r="G27" i="11"/>
  <c r="J27" i="11"/>
  <c r="G12" i="22"/>
  <c r="G18" i="22" s="1"/>
  <c r="G10" i="22"/>
  <c r="G21" i="22"/>
  <c r="I21" i="22"/>
  <c r="L21" i="22" s="1"/>
  <c r="G12" i="23"/>
  <c r="G26" i="23" s="1"/>
  <c r="I26" i="23" s="1"/>
  <c r="G10" i="23"/>
  <c r="G23" i="23" s="1"/>
  <c r="I23" i="23" s="1"/>
  <c r="L23" i="23" s="1"/>
  <c r="G21" i="23"/>
  <c r="I21" i="23" s="1"/>
  <c r="L21" i="23" s="1"/>
  <c r="G13" i="21"/>
  <c r="G27" i="21" s="1"/>
  <c r="I27" i="21" s="1"/>
  <c r="G11" i="21"/>
  <c r="G22" i="21"/>
  <c r="I22" i="21"/>
  <c r="L22" i="21"/>
  <c r="G13" i="2"/>
  <c r="H30" i="2" s="1"/>
  <c r="I30" i="2" s="1"/>
  <c r="L30" i="2" s="1"/>
  <c r="G22" i="2"/>
  <c r="I22" i="2"/>
  <c r="L22" i="2"/>
  <c r="G24" i="2"/>
  <c r="I24" i="2" s="1"/>
  <c r="L24" i="2" s="1"/>
  <c r="F21" i="4"/>
  <c r="G21" i="4" s="1"/>
  <c r="J21" i="4" s="1"/>
  <c r="G19" i="2"/>
  <c r="H30" i="21"/>
  <c r="F22" i="19"/>
  <c r="G22" i="19" s="1"/>
  <c r="J22" i="19" s="1"/>
  <c r="G23" i="22"/>
  <c r="I23" i="22" s="1"/>
  <c r="L23" i="22" s="1"/>
  <c r="G17" i="21"/>
  <c r="F16" i="19"/>
  <c r="G16" i="19"/>
  <c r="J16" i="19"/>
  <c r="F23" i="11"/>
  <c r="G23" i="11" s="1"/>
  <c r="J23" i="11" s="1"/>
  <c r="F19" i="11"/>
  <c r="F21" i="19"/>
  <c r="G21" i="19"/>
  <c r="J21" i="19" s="1"/>
  <c r="G27" i="24"/>
  <c r="I27" i="24" s="1"/>
  <c r="G28" i="24"/>
  <c r="I28" i="24" s="1"/>
  <c r="L28" i="24" s="1"/>
  <c r="G17" i="22"/>
  <c r="I17" i="22" s="1"/>
  <c r="L17" i="22" s="1"/>
  <c r="F17" i="19"/>
  <c r="F20" i="19" s="1"/>
  <c r="G20" i="19" s="1"/>
  <c r="J20" i="19" s="1"/>
  <c r="F15" i="19"/>
  <c r="F20" i="14"/>
  <c r="G23" i="24"/>
  <c r="I23" i="24" s="1"/>
  <c r="L23" i="24" s="1"/>
  <c r="G29" i="2"/>
  <c r="I29" i="2"/>
  <c r="L29" i="2" s="1"/>
  <c r="G25" i="2"/>
  <c r="I25" i="2"/>
  <c r="L25" i="2" s="1"/>
  <c r="G17" i="2"/>
  <c r="G27" i="2"/>
  <c r="I27" i="2"/>
  <c r="G23" i="2"/>
  <c r="I23" i="2" s="1"/>
  <c r="L23" i="2" s="1"/>
  <c r="G18" i="2"/>
  <c r="I18" i="2"/>
  <c r="L18" i="2" s="1"/>
  <c r="H26" i="2"/>
  <c r="I26" i="2" s="1"/>
  <c r="L26" i="2" s="1"/>
  <c r="H26" i="21"/>
  <c r="I26" i="21" s="1"/>
  <c r="L26" i="21" s="1"/>
  <c r="G18" i="21"/>
  <c r="I18" i="21"/>
  <c r="L18" i="21" s="1"/>
  <c r="G29" i="21"/>
  <c r="I29" i="21" s="1"/>
  <c r="L29" i="21" s="1"/>
  <c r="G19" i="21"/>
  <c r="G21" i="21" s="1"/>
  <c r="I21" i="21" s="1"/>
  <c r="L21" i="21" s="1"/>
  <c r="I30" i="21"/>
  <c r="L30" i="21" s="1"/>
  <c r="G28" i="21"/>
  <c r="I28" i="21" s="1"/>
  <c r="G23" i="21"/>
  <c r="I23" i="21" s="1"/>
  <c r="L23" i="21" s="1"/>
  <c r="G25" i="21"/>
  <c r="I25" i="21" s="1"/>
  <c r="L25" i="21" s="1"/>
  <c r="G17" i="19"/>
  <c r="J17" i="19" s="1"/>
  <c r="G28" i="2"/>
  <c r="I28" i="2" s="1"/>
  <c r="I19" i="2" l="1"/>
  <c r="L19" i="2" s="1"/>
  <c r="F18" i="18"/>
  <c r="G18" i="18" s="1"/>
  <c r="J18" i="18" s="1"/>
  <c r="F22" i="4"/>
  <c r="G22" i="4" s="1"/>
  <c r="J22" i="4" s="1"/>
  <c r="F17" i="4"/>
  <c r="G17" i="4" s="1"/>
  <c r="J17" i="4" s="1"/>
  <c r="F16" i="4"/>
  <c r="F20" i="4"/>
  <c r="G20" i="4" s="1"/>
  <c r="J20" i="4" s="1"/>
  <c r="G18" i="4"/>
  <c r="J18" i="4" s="1"/>
  <c r="G19" i="14"/>
  <c r="J19" i="14" s="1"/>
  <c r="F21" i="14"/>
  <c r="G21" i="14" s="1"/>
  <c r="J21" i="14" s="1"/>
  <c r="F18" i="14"/>
  <c r="G18" i="14" s="1"/>
  <c r="J18" i="14" s="1"/>
  <c r="F17" i="14"/>
  <c r="I16" i="12"/>
  <c r="I17" i="12" s="1"/>
  <c r="F21" i="6"/>
  <c r="G21" i="6" s="1"/>
  <c r="J21" i="6" s="1"/>
  <c r="F15" i="6"/>
  <c r="J24" i="19"/>
  <c r="J25" i="19" s="1"/>
  <c r="F16" i="6"/>
  <c r="G16" i="6" s="1"/>
  <c r="J16" i="6" s="1"/>
  <c r="F17" i="6"/>
  <c r="F23" i="6"/>
  <c r="G23" i="6" s="1"/>
  <c r="J23" i="6" s="1"/>
  <c r="H25" i="24"/>
  <c r="I25" i="24" s="1"/>
  <c r="L25" i="24" s="1"/>
  <c r="G21" i="24"/>
  <c r="I21" i="24" s="1"/>
  <c r="L21" i="24" s="1"/>
  <c r="G22" i="24"/>
  <c r="I22" i="24" s="1"/>
  <c r="L22" i="24" s="1"/>
  <c r="H29" i="24"/>
  <c r="I29" i="24" s="1"/>
  <c r="L29" i="24" s="1"/>
  <c r="G17" i="24"/>
  <c r="I17" i="24" s="1"/>
  <c r="L17" i="24" s="1"/>
  <c r="G26" i="24"/>
  <c r="I26" i="24" s="1"/>
  <c r="L26" i="24" s="1"/>
  <c r="G16" i="24"/>
  <c r="G18" i="24"/>
  <c r="G27" i="23"/>
  <c r="I27" i="23" s="1"/>
  <c r="G18" i="23"/>
  <c r="G16" i="23"/>
  <c r="H29" i="23"/>
  <c r="I29" i="23" s="1"/>
  <c r="L29" i="23" s="1"/>
  <c r="G17" i="23"/>
  <c r="I17" i="23" s="1"/>
  <c r="L17" i="23" s="1"/>
  <c r="G24" i="23"/>
  <c r="I24" i="23" s="1"/>
  <c r="L24" i="23" s="1"/>
  <c r="G28" i="23"/>
  <c r="I28" i="23" s="1"/>
  <c r="L28" i="23" s="1"/>
  <c r="H25" i="23"/>
  <c r="I25" i="23" s="1"/>
  <c r="L25" i="23" s="1"/>
  <c r="G22" i="23"/>
  <c r="I22" i="23" s="1"/>
  <c r="L22" i="23" s="1"/>
  <c r="G22" i="22"/>
  <c r="I22" i="22" s="1"/>
  <c r="L22" i="22" s="1"/>
  <c r="G24" i="22"/>
  <c r="I24" i="22" s="1"/>
  <c r="L24" i="22" s="1"/>
  <c r="G28" i="22"/>
  <c r="I28" i="22" s="1"/>
  <c r="L28" i="22" s="1"/>
  <c r="I18" i="22"/>
  <c r="L18" i="22" s="1"/>
  <c r="G20" i="22"/>
  <c r="I20" i="22" s="1"/>
  <c r="L20" i="22" s="1"/>
  <c r="G26" i="22"/>
  <c r="I26" i="22" s="1"/>
  <c r="H25" i="22"/>
  <c r="I25" i="22" s="1"/>
  <c r="L25" i="22" s="1"/>
  <c r="G16" i="22"/>
  <c r="G27" i="22"/>
  <c r="I27" i="22" s="1"/>
  <c r="H29" i="22"/>
  <c r="I29" i="22" s="1"/>
  <c r="L29" i="22" s="1"/>
  <c r="I19" i="21"/>
  <c r="L19" i="21" s="1"/>
  <c r="G24" i="21"/>
  <c r="I24" i="21" s="1"/>
  <c r="L24" i="21" s="1"/>
  <c r="G21" i="2"/>
  <c r="I21" i="2" s="1"/>
  <c r="L21" i="2" s="1"/>
  <c r="L31" i="2" s="1"/>
  <c r="L32" i="2" s="1"/>
  <c r="F24" i="30"/>
  <c r="G24" i="30" s="1"/>
  <c r="J24" i="30" s="1"/>
  <c r="F18" i="30"/>
  <c r="G18" i="30" s="1"/>
  <c r="J18" i="30" s="1"/>
  <c r="F19" i="30"/>
  <c r="F17" i="30"/>
  <c r="F22" i="11"/>
  <c r="G22" i="11" s="1"/>
  <c r="J22" i="11" s="1"/>
  <c r="F24" i="11"/>
  <c r="G24" i="11" s="1"/>
  <c r="J24" i="11" s="1"/>
  <c r="J28" i="11" s="1"/>
  <c r="J29" i="11" s="1"/>
  <c r="F17" i="18"/>
  <c r="G17" i="18" s="1"/>
  <c r="J17" i="18" s="1"/>
  <c r="F16" i="18"/>
  <c r="L30" i="22" l="1"/>
  <c r="L31" i="22" s="1"/>
  <c r="L31" i="21"/>
  <c r="L32" i="21" s="1"/>
  <c r="F20" i="18"/>
  <c r="G20" i="18" s="1"/>
  <c r="J20" i="18" s="1"/>
  <c r="J25" i="18"/>
  <c r="J26" i="18" s="1"/>
  <c r="J25" i="4"/>
  <c r="J26" i="4" s="1"/>
  <c r="J23" i="14"/>
  <c r="J24" i="14" s="1"/>
  <c r="F20" i="6"/>
  <c r="G20" i="6" s="1"/>
  <c r="J20" i="6" s="1"/>
  <c r="G17" i="6"/>
  <c r="J17" i="6" s="1"/>
  <c r="J24" i="6" s="1"/>
  <c r="J25" i="6" s="1"/>
  <c r="G20" i="24"/>
  <c r="I20" i="24" s="1"/>
  <c r="L20" i="24" s="1"/>
  <c r="I18" i="24"/>
  <c r="L18" i="24" s="1"/>
  <c r="L30" i="24" s="1"/>
  <c r="L31" i="24" s="1"/>
  <c r="G20" i="23"/>
  <c r="I20" i="23" s="1"/>
  <c r="L20" i="23" s="1"/>
  <c r="I18" i="23"/>
  <c r="L18" i="23" s="1"/>
  <c r="L30" i="23" s="1"/>
  <c r="L31" i="23" s="1"/>
  <c r="F22" i="30"/>
  <c r="G22" i="30" s="1"/>
  <c r="J22" i="30" s="1"/>
  <c r="G19" i="30"/>
  <c r="J19" i="30" s="1"/>
  <c r="J28" i="30" s="1"/>
  <c r="J29" i="30" s="1"/>
</calcChain>
</file>

<file path=xl/sharedStrings.xml><?xml version="1.0" encoding="utf-8"?>
<sst xmlns="http://schemas.openxmlformats.org/spreadsheetml/2006/main" count="1429" uniqueCount="378">
  <si>
    <t>施工数量</t>
    <rPh sb="0" eb="2">
      <t>セコウ</t>
    </rPh>
    <rPh sb="2" eb="4">
      <t>スウリョウ</t>
    </rPh>
    <phoneticPr fontId="2"/>
  </si>
  <si>
    <t>床</t>
    <rPh sb="0" eb="1">
      <t>ユカ</t>
    </rPh>
    <phoneticPr fontId="2"/>
  </si>
  <si>
    <t>立上り</t>
    <rPh sb="0" eb="2">
      <t>タチアガ</t>
    </rPh>
    <phoneticPr fontId="2"/>
  </si>
  <si>
    <t>笠木天端</t>
    <rPh sb="0" eb="2">
      <t>カサギ</t>
    </rPh>
    <rPh sb="2" eb="3">
      <t>テン</t>
    </rPh>
    <rPh sb="3" eb="4">
      <t>タン</t>
    </rPh>
    <phoneticPr fontId="2"/>
  </si>
  <si>
    <t>㎡</t>
    <phoneticPr fontId="2"/>
  </si>
  <si>
    <t>㎡</t>
    <phoneticPr fontId="2"/>
  </si>
  <si>
    <t>㎡</t>
    <phoneticPr fontId="2"/>
  </si>
  <si>
    <t>使用材料</t>
    <rPh sb="0" eb="2">
      <t>シヨウ</t>
    </rPh>
    <rPh sb="2" eb="4">
      <t>ザイリョウ</t>
    </rPh>
    <phoneticPr fontId="2"/>
  </si>
  <si>
    <t>缶</t>
    <rPh sb="0" eb="1">
      <t>カン</t>
    </rPh>
    <phoneticPr fontId="2"/>
  </si>
  <si>
    <t>防水材料</t>
    <rPh sb="0" eb="2">
      <t>ボウスイ</t>
    </rPh>
    <rPh sb="2" eb="4">
      <t>ザイリョウ</t>
    </rPh>
    <phoneticPr fontId="2"/>
  </si>
  <si>
    <t>補強布</t>
    <rPh sb="0" eb="2">
      <t>ホキョウ</t>
    </rPh>
    <rPh sb="2" eb="3">
      <t>フ</t>
    </rPh>
    <phoneticPr fontId="2"/>
  </si>
  <si>
    <t>増張り用補強布</t>
    <rPh sb="0" eb="1">
      <t>マ</t>
    </rPh>
    <rPh sb="1" eb="2">
      <t>ハ</t>
    </rPh>
    <rPh sb="3" eb="4">
      <t>ヨウ</t>
    </rPh>
    <rPh sb="4" eb="6">
      <t>ホキョウ</t>
    </rPh>
    <rPh sb="6" eb="7">
      <t>フ</t>
    </rPh>
    <phoneticPr fontId="2"/>
  </si>
  <si>
    <t>分類</t>
    <rPh sb="0" eb="2">
      <t>ブンルイ</t>
    </rPh>
    <phoneticPr fontId="2"/>
  </si>
  <si>
    <t>巻</t>
    <rPh sb="0" eb="1">
      <t>マ</t>
    </rPh>
    <phoneticPr fontId="2"/>
  </si>
  <si>
    <t>　　立上り　高さ</t>
    <rPh sb="2" eb="4">
      <t>タチアガ</t>
    </rPh>
    <rPh sb="6" eb="7">
      <t>タカ</t>
    </rPh>
    <phoneticPr fontId="2"/>
  </si>
  <si>
    <t>　　立上り　長さ</t>
    <rPh sb="2" eb="4">
      <t>タチアガ</t>
    </rPh>
    <rPh sb="6" eb="7">
      <t>ナガ</t>
    </rPh>
    <phoneticPr fontId="2"/>
  </si>
  <si>
    <t>ｍ</t>
    <phoneticPr fontId="2"/>
  </si>
  <si>
    <t>100ｍ巻</t>
    <rPh sb="4" eb="5">
      <t>マ</t>
    </rPh>
    <phoneticPr fontId="2"/>
  </si>
  <si>
    <t>20kg石油缶</t>
    <rPh sb="4" eb="6">
      <t>セキユ</t>
    </rPh>
    <rPh sb="6" eb="7">
      <t>カン</t>
    </rPh>
    <phoneticPr fontId="2"/>
  </si>
  <si>
    <t>15kg石油缶</t>
    <rPh sb="4" eb="6">
      <t>セキユ</t>
    </rPh>
    <rPh sb="6" eb="7">
      <t>カン</t>
    </rPh>
    <phoneticPr fontId="2"/>
  </si>
  <si>
    <t>荷姿</t>
    <rPh sb="0" eb="1">
      <t>ニ</t>
    </rPh>
    <rPh sb="1" eb="2">
      <t>スガタ</t>
    </rPh>
    <phoneticPr fontId="2"/>
  </si>
  <si>
    <t>軽歩行仕上げ</t>
    <rPh sb="0" eb="1">
      <t>ケイ</t>
    </rPh>
    <rPh sb="1" eb="3">
      <t>ホコウ</t>
    </rPh>
    <rPh sb="3" eb="5">
      <t>シア</t>
    </rPh>
    <phoneticPr fontId="2"/>
  </si>
  <si>
    <t>非歩行仕上げ</t>
    <rPh sb="0" eb="1">
      <t>ヒ</t>
    </rPh>
    <rPh sb="1" eb="3">
      <t>ホコウ</t>
    </rPh>
    <rPh sb="3" eb="5">
      <t>シア</t>
    </rPh>
    <phoneticPr fontId="2"/>
  </si>
  <si>
    <t>増張り用防水材</t>
    <rPh sb="0" eb="1">
      <t>マ</t>
    </rPh>
    <rPh sb="1" eb="2">
      <t>ハ</t>
    </rPh>
    <rPh sb="3" eb="4">
      <t>ヨウ</t>
    </rPh>
    <rPh sb="4" eb="6">
      <t>ボウスイ</t>
    </rPh>
    <rPh sb="6" eb="7">
      <t>ザイ</t>
    </rPh>
    <phoneticPr fontId="2"/>
  </si>
  <si>
    <t>ナルファルトWP</t>
    <phoneticPr fontId="2"/>
  </si>
  <si>
    <t>①</t>
    <phoneticPr fontId="2"/>
  </si>
  <si>
    <t>②</t>
    <phoneticPr fontId="2"/>
  </si>
  <si>
    <t>③</t>
    <phoneticPr fontId="2"/>
  </si>
  <si>
    <t>総施工数量</t>
    <rPh sb="0" eb="1">
      <t>ソウ</t>
    </rPh>
    <rPh sb="1" eb="3">
      <t>セコウ</t>
    </rPh>
    <rPh sb="3" eb="5">
      <t>スウリョウ</t>
    </rPh>
    <phoneticPr fontId="2"/>
  </si>
  <si>
    <t>①＋②+③</t>
    <phoneticPr fontId="2"/>
  </si>
  <si>
    <t>㎡</t>
    <phoneticPr fontId="2"/>
  </si>
  <si>
    <t>材料計算</t>
    <rPh sb="0" eb="2">
      <t>ザイリョウ</t>
    </rPh>
    <rPh sb="2" eb="4">
      <t>ケイサン</t>
    </rPh>
    <phoneticPr fontId="2"/>
  </si>
  <si>
    <t>不織布　　W200</t>
    <rPh sb="0" eb="1">
      <t>フ</t>
    </rPh>
    <rPh sb="1" eb="2">
      <t>ショク</t>
    </rPh>
    <rPh sb="2" eb="3">
      <t>フ</t>
    </rPh>
    <phoneticPr fontId="2"/>
  </si>
  <si>
    <t>不織布　　W1050</t>
    <rPh sb="0" eb="1">
      <t>フ</t>
    </rPh>
    <rPh sb="1" eb="2">
      <t>ショク</t>
    </rPh>
    <rPh sb="2" eb="3">
      <t>フ</t>
    </rPh>
    <phoneticPr fontId="2"/>
  </si>
  <si>
    <t>Ⅰ欄</t>
    <rPh sb="1" eb="2">
      <t>ラン</t>
    </rPh>
    <phoneticPr fontId="2"/>
  </si>
  <si>
    <t>Ⅱ欄</t>
    <rPh sb="1" eb="2">
      <t>ラン</t>
    </rPh>
    <phoneticPr fontId="2"/>
  </si>
  <si>
    <t>（Ⅱ欄の材料数量を発注してください）</t>
    <rPh sb="2" eb="3">
      <t>ラン</t>
    </rPh>
    <rPh sb="4" eb="6">
      <t>ザイリョウ</t>
    </rPh>
    <rPh sb="6" eb="8">
      <t>スウリョウ</t>
    </rPh>
    <rPh sb="9" eb="11">
      <t>ハッチュウ</t>
    </rPh>
    <phoneticPr fontId="2"/>
  </si>
  <si>
    <t>ナルファルトトップS</t>
    <phoneticPr fontId="2"/>
  </si>
  <si>
    <t>ナルファルトトップP</t>
    <phoneticPr fontId="2"/>
  </si>
  <si>
    <t>1）</t>
    <phoneticPr fontId="2"/>
  </si>
  <si>
    <t>2）</t>
    <phoneticPr fontId="2"/>
  </si>
  <si>
    <t>使用量</t>
    <rPh sb="0" eb="3">
      <t>シヨウリョウ</t>
    </rPh>
    <phoneticPr fontId="2"/>
  </si>
  <si>
    <t>2kg/㎡</t>
    <phoneticPr fontId="2"/>
  </si>
  <si>
    <t>1.1㎡／㎡</t>
    <phoneticPr fontId="2"/>
  </si>
  <si>
    <t>1.1ｍ/ｍ</t>
    <phoneticPr fontId="2"/>
  </si>
  <si>
    <t>※　1kg/㎡</t>
    <phoneticPr fontId="2"/>
  </si>
  <si>
    <t>※0.3ｋｇ/㎡</t>
    <phoneticPr fontId="2"/>
  </si>
  <si>
    <t>積算は概算です。　施工に当たっては不足分は追加手配してください。</t>
    <rPh sb="0" eb="2">
      <t>セキサン</t>
    </rPh>
    <rPh sb="3" eb="5">
      <t>ガイサン</t>
    </rPh>
    <rPh sb="9" eb="11">
      <t>セコウ</t>
    </rPh>
    <rPh sb="12" eb="13">
      <t>ア</t>
    </rPh>
    <rPh sb="17" eb="19">
      <t>フソク</t>
    </rPh>
    <rPh sb="19" eb="20">
      <t>ブン</t>
    </rPh>
    <rPh sb="21" eb="23">
      <t>ツイカ</t>
    </rPh>
    <rPh sb="23" eb="25">
      <t>テハイ</t>
    </rPh>
    <phoneticPr fontId="2"/>
  </si>
  <si>
    <t>概算発注数量</t>
    <rPh sb="0" eb="2">
      <t>ガイサン</t>
    </rPh>
    <rPh sb="2" eb="4">
      <t>ハッチュウ</t>
    </rPh>
    <rPh sb="4" eb="6">
      <t>スウリョウ</t>
    </rPh>
    <phoneticPr fontId="2"/>
  </si>
  <si>
    <t>数量計算には　5～10％のロスを見ております。</t>
    <rPh sb="0" eb="2">
      <t>スウリョウ</t>
    </rPh>
    <rPh sb="2" eb="4">
      <t>ケイサン</t>
    </rPh>
    <rPh sb="16" eb="17">
      <t>ミ</t>
    </rPh>
    <phoneticPr fontId="2"/>
  </si>
  <si>
    <t>1）</t>
    <phoneticPr fontId="2"/>
  </si>
  <si>
    <t>①</t>
    <phoneticPr fontId="2"/>
  </si>
  <si>
    <t>㎡</t>
    <phoneticPr fontId="2"/>
  </si>
  <si>
    <t>②</t>
    <phoneticPr fontId="2"/>
  </si>
  <si>
    <t>①＋②+③</t>
    <phoneticPr fontId="2"/>
  </si>
  <si>
    <t>㎡</t>
    <phoneticPr fontId="2"/>
  </si>
  <si>
    <t>2）</t>
    <phoneticPr fontId="2"/>
  </si>
  <si>
    <t>1.1㎡／㎡</t>
    <phoneticPr fontId="2"/>
  </si>
  <si>
    <t>1.1ｍ/ｍ</t>
    <phoneticPr fontId="2"/>
  </si>
  <si>
    <t>（Ⅰ欄色地枠に施工数量を入力してください）</t>
    <rPh sb="2" eb="3">
      <t>ラン</t>
    </rPh>
    <rPh sb="3" eb="4">
      <t>イロ</t>
    </rPh>
    <rPh sb="4" eb="5">
      <t>ジ</t>
    </rPh>
    <rPh sb="5" eb="6">
      <t>ワク</t>
    </rPh>
    <rPh sb="7" eb="9">
      <t>セコウ</t>
    </rPh>
    <rPh sb="9" eb="11">
      <t>スウリョウ</t>
    </rPh>
    <rPh sb="12" eb="14">
      <t>ニュウリョク</t>
    </rPh>
    <phoneticPr fontId="2"/>
  </si>
  <si>
    <t>ﾌﾟﾗｲﾏｰ</t>
    <phoneticPr fontId="2"/>
  </si>
  <si>
    <t>0.2kg/㎡</t>
    <phoneticPr fontId="2"/>
  </si>
  <si>
    <t>0.2kg/㎡</t>
    <phoneticPr fontId="2"/>
  </si>
  <si>
    <t>地下外壁後付け工法　(国交省　Y-1相当工法）</t>
    <rPh sb="0" eb="2">
      <t>チカ</t>
    </rPh>
    <rPh sb="2" eb="4">
      <t>ガイヘキ</t>
    </rPh>
    <rPh sb="4" eb="5">
      <t>アト</t>
    </rPh>
    <rPh sb="5" eb="6">
      <t>ツ</t>
    </rPh>
    <rPh sb="7" eb="9">
      <t>コウホウ</t>
    </rPh>
    <rPh sb="11" eb="14">
      <t>コッコウショウ</t>
    </rPh>
    <rPh sb="18" eb="20">
      <t>ソウトウ</t>
    </rPh>
    <rPh sb="20" eb="22">
      <t>コウホウ</t>
    </rPh>
    <phoneticPr fontId="2"/>
  </si>
  <si>
    <t>保護緩衝材</t>
    <rPh sb="0" eb="2">
      <t>ホゴ</t>
    </rPh>
    <rPh sb="2" eb="5">
      <t>カンショウザイ</t>
    </rPh>
    <phoneticPr fontId="2"/>
  </si>
  <si>
    <t>地下壁</t>
    <rPh sb="0" eb="2">
      <t>チカ</t>
    </rPh>
    <rPh sb="2" eb="3">
      <t>カベ</t>
    </rPh>
    <phoneticPr fontId="2"/>
  </si>
  <si>
    <t>その他</t>
    <rPh sb="2" eb="3">
      <t>タ</t>
    </rPh>
    <phoneticPr fontId="2"/>
  </si>
  <si>
    <t>　　打継長さ</t>
    <rPh sb="2" eb="4">
      <t>ウチツギ</t>
    </rPh>
    <rPh sb="4" eb="5">
      <t>ナガ</t>
    </rPh>
    <phoneticPr fontId="2"/>
  </si>
  <si>
    <t>3×６版</t>
    <rPh sb="3" eb="4">
      <t>バン</t>
    </rPh>
    <phoneticPr fontId="2"/>
  </si>
  <si>
    <t>枚</t>
    <rPh sb="0" eb="1">
      <t>マイ</t>
    </rPh>
    <phoneticPr fontId="2"/>
  </si>
  <si>
    <t>1）</t>
    <phoneticPr fontId="2"/>
  </si>
  <si>
    <t>②</t>
    <phoneticPr fontId="2"/>
  </si>
  <si>
    <t>㎡</t>
    <phoneticPr fontId="2"/>
  </si>
  <si>
    <t>0.2kg/m</t>
    <phoneticPr fontId="2"/>
  </si>
  <si>
    <t>ｽﾁﾚﾝﾌｫｰﾑ　t20</t>
    <phoneticPr fontId="2"/>
  </si>
  <si>
    <t>保護緩衝材は、厚み５ｍｍ以上のペフでも可能です。</t>
    <rPh sb="0" eb="2">
      <t>ホゴ</t>
    </rPh>
    <rPh sb="2" eb="5">
      <t>カンショウザイ</t>
    </rPh>
    <rPh sb="7" eb="8">
      <t>アツ</t>
    </rPh>
    <rPh sb="12" eb="14">
      <t>イジョウ</t>
    </rPh>
    <rPh sb="19" eb="21">
      <t>カノウ</t>
    </rPh>
    <phoneticPr fontId="2"/>
  </si>
  <si>
    <t>床　絶縁シート</t>
    <rPh sb="0" eb="1">
      <t>ユカ</t>
    </rPh>
    <rPh sb="2" eb="4">
      <t>ゼツエン</t>
    </rPh>
    <phoneticPr fontId="2"/>
  </si>
  <si>
    <t>ﾎﾟﾘｴﾁﾚﾝﾌｨﾙﾑ　t0.15</t>
    <phoneticPr fontId="2"/>
  </si>
  <si>
    <t>立上り　トンボ</t>
    <rPh sb="0" eb="2">
      <t>タチアガ</t>
    </rPh>
    <phoneticPr fontId="2"/>
  </si>
  <si>
    <t>トンボ</t>
    <phoneticPr fontId="2"/>
  </si>
  <si>
    <t>ケ</t>
    <phoneticPr fontId="2"/>
  </si>
  <si>
    <r>
      <t>1</t>
    </r>
    <r>
      <rPr>
        <sz val="11"/>
        <rFont val="ＭＳ Ｐゴシック"/>
        <family val="3"/>
        <charset val="128"/>
      </rPr>
      <t>2ケ/㎡</t>
    </r>
    <phoneticPr fontId="2"/>
  </si>
  <si>
    <t>0.2kg/m</t>
    <phoneticPr fontId="2"/>
  </si>
  <si>
    <t>1）</t>
    <phoneticPr fontId="2"/>
  </si>
  <si>
    <t>③</t>
    <phoneticPr fontId="2"/>
  </si>
  <si>
    <t>㎡</t>
    <phoneticPr fontId="2"/>
  </si>
  <si>
    <t>ﾌﾟﾗｲﾏｰ</t>
    <phoneticPr fontId="2"/>
  </si>
  <si>
    <t>ナルファルトトップS</t>
    <phoneticPr fontId="2"/>
  </si>
  <si>
    <t>※　1kg/㎡</t>
    <phoneticPr fontId="2"/>
  </si>
  <si>
    <t>ナルファルトトップP</t>
    <phoneticPr fontId="2"/>
  </si>
  <si>
    <t>※0.3ｋｇ/㎡</t>
    <phoneticPr fontId="2"/>
  </si>
  <si>
    <t>膨れ防止材</t>
    <rPh sb="0" eb="1">
      <t>フク</t>
    </rPh>
    <rPh sb="2" eb="4">
      <t>ボウシ</t>
    </rPh>
    <rPh sb="4" eb="5">
      <t>ザイ</t>
    </rPh>
    <phoneticPr fontId="2"/>
  </si>
  <si>
    <t>ナルブリッドB</t>
    <phoneticPr fontId="2"/>
  </si>
  <si>
    <t>0.8kg/㎡</t>
    <phoneticPr fontId="2"/>
  </si>
  <si>
    <t>※笠木天端のみ</t>
    <rPh sb="1" eb="3">
      <t>カサギ</t>
    </rPh>
    <rPh sb="3" eb="4">
      <t>テン</t>
    </rPh>
    <rPh sb="4" eb="5">
      <t>タン</t>
    </rPh>
    <phoneticPr fontId="2"/>
  </si>
  <si>
    <t>ナルブリッドB</t>
    <phoneticPr fontId="2"/>
  </si>
  <si>
    <t>0.8kg/㎡</t>
    <phoneticPr fontId="2"/>
  </si>
  <si>
    <t>材料数量計算書</t>
    <rPh sb="0" eb="2">
      <t>ザイリョウ</t>
    </rPh>
    <rPh sb="2" eb="4">
      <t>スウリョウ</t>
    </rPh>
    <rPh sb="4" eb="7">
      <t>ケイサンショ</t>
    </rPh>
    <phoneticPr fontId="2"/>
  </si>
  <si>
    <t>適用工法</t>
    <rPh sb="0" eb="2">
      <t>テキヨウ</t>
    </rPh>
    <rPh sb="2" eb="4">
      <t>コウホウ</t>
    </rPh>
    <phoneticPr fontId="2"/>
  </si>
  <si>
    <t>実塗布面積</t>
    <rPh sb="0" eb="1">
      <t>ジツ</t>
    </rPh>
    <rPh sb="1" eb="3">
      <t>トフ</t>
    </rPh>
    <rPh sb="3" eb="5">
      <t>メンセキ</t>
    </rPh>
    <phoneticPr fontId="2"/>
  </si>
  <si>
    <t>実塗布面積とは　屋根面積に瓦棒・折板の形状による係数倍した数値です。</t>
    <rPh sb="0" eb="1">
      <t>ジツ</t>
    </rPh>
    <rPh sb="1" eb="3">
      <t>トフ</t>
    </rPh>
    <rPh sb="3" eb="5">
      <t>メンセキ</t>
    </rPh>
    <rPh sb="8" eb="10">
      <t>ヤネ</t>
    </rPh>
    <rPh sb="10" eb="12">
      <t>メンセキ</t>
    </rPh>
    <rPh sb="13" eb="14">
      <t>カワラ</t>
    </rPh>
    <rPh sb="14" eb="15">
      <t>ボウ</t>
    </rPh>
    <rPh sb="16" eb="17">
      <t>オリ</t>
    </rPh>
    <rPh sb="17" eb="18">
      <t>イタ</t>
    </rPh>
    <rPh sb="19" eb="21">
      <t>ケイジョウ</t>
    </rPh>
    <rPh sb="24" eb="26">
      <t>ケイスウ</t>
    </rPh>
    <rPh sb="26" eb="27">
      <t>バイ</t>
    </rPh>
    <rPh sb="29" eb="31">
      <t>スウチ</t>
    </rPh>
    <phoneticPr fontId="2"/>
  </si>
  <si>
    <t>金額</t>
    <rPh sb="0" eb="2">
      <t>キンガク</t>
    </rPh>
    <phoneticPr fontId="2"/>
  </si>
  <si>
    <t>硅砂トップ</t>
    <rPh sb="0" eb="1">
      <t>ケイ</t>
    </rPh>
    <rPh sb="1" eb="2">
      <t>スナ</t>
    </rPh>
    <phoneticPr fontId="2"/>
  </si>
  <si>
    <t>遮熱トップ</t>
    <rPh sb="0" eb="1">
      <t>シャ</t>
    </rPh>
    <rPh sb="1" eb="2">
      <t>ネツ</t>
    </rPh>
    <phoneticPr fontId="2"/>
  </si>
  <si>
    <t>※１。アルミ下地を除いて、プライマーは不要です。</t>
    <rPh sb="6" eb="7">
      <t>シタ</t>
    </rPh>
    <rPh sb="7" eb="8">
      <t>ジ</t>
    </rPh>
    <rPh sb="9" eb="10">
      <t>ノゾ</t>
    </rPh>
    <rPh sb="19" eb="21">
      <t>フヨウ</t>
    </rPh>
    <phoneticPr fontId="2"/>
  </si>
  <si>
    <t>　　アルミ地の場合は、ナルファルトプライマーＡＬを　使用します。別途お問合わせください。</t>
    <rPh sb="5" eb="6">
      <t>ジ</t>
    </rPh>
    <rPh sb="7" eb="9">
      <t>バアイ</t>
    </rPh>
    <rPh sb="26" eb="28">
      <t>シヨウ</t>
    </rPh>
    <rPh sb="32" eb="34">
      <t>ベット</t>
    </rPh>
    <rPh sb="35" eb="37">
      <t>トイア</t>
    </rPh>
    <phoneticPr fontId="2"/>
  </si>
  <si>
    <t>※２．フックボルトキャップは別途積算してください。</t>
    <rPh sb="14" eb="16">
      <t>ベット</t>
    </rPh>
    <rPh sb="16" eb="18">
      <t>セキサン</t>
    </rPh>
    <phoneticPr fontId="2"/>
  </si>
  <si>
    <t>※３．シールを打ちかえる場合は、別途積算に願います。</t>
    <rPh sb="7" eb="8">
      <t>ウ</t>
    </rPh>
    <rPh sb="12" eb="14">
      <t>バアイ</t>
    </rPh>
    <rPh sb="16" eb="18">
      <t>ベット</t>
    </rPh>
    <rPh sb="18" eb="20">
      <t>セキサン</t>
    </rPh>
    <rPh sb="21" eb="22">
      <t>ネガ</t>
    </rPh>
    <phoneticPr fontId="2"/>
  </si>
  <si>
    <t>※４．接合部補強は、漏水している場所を除き　原則行いません。</t>
    <rPh sb="3" eb="5">
      <t>セツゴウ</t>
    </rPh>
    <rPh sb="5" eb="6">
      <t>ブ</t>
    </rPh>
    <rPh sb="6" eb="8">
      <t>ホキョウ</t>
    </rPh>
    <rPh sb="10" eb="12">
      <t>ロウスイ</t>
    </rPh>
    <rPh sb="16" eb="18">
      <t>バショ</t>
    </rPh>
    <rPh sb="19" eb="20">
      <t>ノゾ</t>
    </rPh>
    <rPh sb="22" eb="24">
      <t>ゲンソク</t>
    </rPh>
    <rPh sb="24" eb="25">
      <t>オコナ</t>
    </rPh>
    <phoneticPr fontId="2"/>
  </si>
  <si>
    <t>※５．施工に当たっては、標準施工要領に準拠してください。</t>
    <rPh sb="3" eb="5">
      <t>セコウ</t>
    </rPh>
    <rPh sb="6" eb="7">
      <t>ア</t>
    </rPh>
    <rPh sb="12" eb="14">
      <t>ヒョウジュン</t>
    </rPh>
    <rPh sb="14" eb="16">
      <t>セコウ</t>
    </rPh>
    <rPh sb="16" eb="18">
      <t>ヨウリョウ</t>
    </rPh>
    <rPh sb="19" eb="21">
      <t>ジュンキョ</t>
    </rPh>
    <phoneticPr fontId="2"/>
  </si>
  <si>
    <t>㎡</t>
    <phoneticPr fontId="2"/>
  </si>
  <si>
    <t>2）</t>
    <phoneticPr fontId="2"/>
  </si>
  <si>
    <t>ナルファルトＷＰ</t>
    <phoneticPr fontId="2"/>
  </si>
  <si>
    <t>1kg/㎡</t>
    <phoneticPr fontId="2"/>
  </si>
  <si>
    <t>ナルファルトトップＳ</t>
    <phoneticPr fontId="2"/>
  </si>
  <si>
    <t>モルタルで保護される箇所の防水に適用する(屋根・浴室･厨房・便所等）</t>
    <rPh sb="5" eb="7">
      <t>ホゴ</t>
    </rPh>
    <rPh sb="10" eb="12">
      <t>カショ</t>
    </rPh>
    <rPh sb="13" eb="15">
      <t>ボウスイ</t>
    </rPh>
    <rPh sb="16" eb="18">
      <t>テキヨウ</t>
    </rPh>
    <rPh sb="21" eb="23">
      <t>ヤネ</t>
    </rPh>
    <rPh sb="24" eb="26">
      <t>ヨクシツ</t>
    </rPh>
    <rPh sb="27" eb="29">
      <t>チュウボウ</t>
    </rPh>
    <rPh sb="30" eb="32">
      <t>ベンジョ</t>
    </rPh>
    <rPh sb="32" eb="33">
      <t>トウ</t>
    </rPh>
    <phoneticPr fontId="2"/>
  </si>
  <si>
    <t>1）</t>
    <phoneticPr fontId="2"/>
  </si>
  <si>
    <t>モルタルで保護される箇所の防水に適用する　　(屋根等）</t>
    <rPh sb="5" eb="7">
      <t>ホゴ</t>
    </rPh>
    <rPh sb="10" eb="12">
      <t>カショ</t>
    </rPh>
    <rPh sb="13" eb="15">
      <t>ボウスイ</t>
    </rPh>
    <rPh sb="16" eb="18">
      <t>テキヨウ</t>
    </rPh>
    <rPh sb="23" eb="25">
      <t>ヤネ</t>
    </rPh>
    <rPh sb="25" eb="26">
      <t>トウ</t>
    </rPh>
    <phoneticPr fontId="2"/>
  </si>
  <si>
    <t>床　断熱部</t>
    <rPh sb="0" eb="1">
      <t>ユカ</t>
    </rPh>
    <rPh sb="2" eb="4">
      <t>ダンネツ</t>
    </rPh>
    <rPh sb="4" eb="5">
      <t>ブ</t>
    </rPh>
    <phoneticPr fontId="2"/>
  </si>
  <si>
    <t>床　非断熱部</t>
    <rPh sb="0" eb="1">
      <t>ユカ</t>
    </rPh>
    <rPh sb="2" eb="3">
      <t>ヒ</t>
    </rPh>
    <rPh sb="3" eb="5">
      <t>ダンネツ</t>
    </rPh>
    <rPh sb="5" eb="6">
      <t>ブ</t>
    </rPh>
    <phoneticPr fontId="2"/>
  </si>
  <si>
    <t>㎡</t>
    <phoneticPr fontId="2"/>
  </si>
  <si>
    <t>①’</t>
    <phoneticPr fontId="2"/>
  </si>
  <si>
    <t>断熱材</t>
    <rPh sb="0" eb="3">
      <t>ダンネツザイ</t>
    </rPh>
    <phoneticPr fontId="2"/>
  </si>
  <si>
    <t>ﾎﾟﾘｽﾁﾚﾝﾌｫｰﾑ</t>
    <phoneticPr fontId="2"/>
  </si>
  <si>
    <t>増し張り用防水材</t>
    <rPh sb="0" eb="1">
      <t>マ</t>
    </rPh>
    <rPh sb="2" eb="3">
      <t>バ</t>
    </rPh>
    <rPh sb="4" eb="5">
      <t>ヨウ</t>
    </rPh>
    <rPh sb="5" eb="7">
      <t>ボウスイ</t>
    </rPh>
    <rPh sb="7" eb="8">
      <t>ザイ</t>
    </rPh>
    <phoneticPr fontId="2"/>
  </si>
  <si>
    <t>断熱点張り用</t>
    <rPh sb="0" eb="2">
      <t>ダンネツ</t>
    </rPh>
    <rPh sb="2" eb="3">
      <t>テン</t>
    </rPh>
    <rPh sb="3" eb="4">
      <t>ハ</t>
    </rPh>
    <rPh sb="5" eb="6">
      <t>ヨウ</t>
    </rPh>
    <phoneticPr fontId="2"/>
  </si>
  <si>
    <t>t35 910×1820</t>
    <phoneticPr fontId="2"/>
  </si>
  <si>
    <t>仕切単価</t>
    <rPh sb="0" eb="2">
      <t>シキ</t>
    </rPh>
    <rPh sb="2" eb="4">
      <t>タンカ</t>
    </rPh>
    <phoneticPr fontId="2"/>
  </si>
  <si>
    <t>材料費計</t>
    <rPh sb="0" eb="3">
      <t>ザイリョウヒ</t>
    </rPh>
    <rPh sb="3" eb="4">
      <t>ケイ</t>
    </rPh>
    <phoneticPr fontId="2"/>
  </si>
  <si>
    <t>材料単価</t>
    <rPh sb="0" eb="2">
      <t>ザイリョウ</t>
    </rPh>
    <rPh sb="2" eb="4">
      <t>タンカ</t>
    </rPh>
    <phoneticPr fontId="2"/>
  </si>
  <si>
    <t>シングル葺き屋根　防水機能回復</t>
    <rPh sb="4" eb="5">
      <t>フ</t>
    </rPh>
    <rPh sb="6" eb="8">
      <t>ヤネ</t>
    </rPh>
    <rPh sb="9" eb="11">
      <t>ボウスイ</t>
    </rPh>
    <rPh sb="11" eb="13">
      <t>キノウ</t>
    </rPh>
    <rPh sb="13" eb="15">
      <t>カイフク</t>
    </rPh>
    <phoneticPr fontId="2"/>
  </si>
  <si>
    <t>施工面積</t>
    <rPh sb="0" eb="2">
      <t>セコウ</t>
    </rPh>
    <rPh sb="2" eb="4">
      <t>メンセキ</t>
    </rPh>
    <phoneticPr fontId="2"/>
  </si>
  <si>
    <t>※1．シールを打ちかえる場合は、別途積算に願います。</t>
    <rPh sb="7" eb="8">
      <t>ウ</t>
    </rPh>
    <rPh sb="12" eb="14">
      <t>バアイ</t>
    </rPh>
    <rPh sb="16" eb="18">
      <t>ベット</t>
    </rPh>
    <rPh sb="18" eb="20">
      <t>セキサン</t>
    </rPh>
    <rPh sb="21" eb="22">
      <t>ネガ</t>
    </rPh>
    <phoneticPr fontId="2"/>
  </si>
  <si>
    <t>※2．施工に当たっては、標準施工要領に準拠してください。</t>
    <rPh sb="3" eb="5">
      <t>セコウ</t>
    </rPh>
    <rPh sb="6" eb="7">
      <t>ア</t>
    </rPh>
    <rPh sb="12" eb="14">
      <t>ヒョウジュン</t>
    </rPh>
    <rPh sb="14" eb="16">
      <t>セコウ</t>
    </rPh>
    <rPh sb="16" eb="18">
      <t>ヨウリョウ</t>
    </rPh>
    <rPh sb="19" eb="21">
      <t>ジュンキョ</t>
    </rPh>
    <phoneticPr fontId="2"/>
  </si>
  <si>
    <t>適用</t>
    <rPh sb="0" eb="2">
      <t>テキヨウ</t>
    </rPh>
    <phoneticPr fontId="2"/>
  </si>
  <si>
    <t>この材料計算書は、　ナルファルトWPを使用する防水工法に対応しています。</t>
    <rPh sb="2" eb="4">
      <t>ザイリョウ</t>
    </rPh>
    <rPh sb="4" eb="6">
      <t>ケイサン</t>
    </rPh>
    <rPh sb="6" eb="7">
      <t>ショ</t>
    </rPh>
    <rPh sb="19" eb="21">
      <t>シヨウ</t>
    </rPh>
    <rPh sb="23" eb="25">
      <t>ボウスイ</t>
    </rPh>
    <rPh sb="25" eb="27">
      <t>コウホウ</t>
    </rPh>
    <rPh sb="28" eb="30">
      <t>タイオウ</t>
    </rPh>
    <phoneticPr fontId="2"/>
  </si>
  <si>
    <t>シート名称</t>
    <rPh sb="3" eb="5">
      <t>メイショウ</t>
    </rPh>
    <phoneticPr fontId="2"/>
  </si>
  <si>
    <t>工法記号</t>
    <rPh sb="0" eb="2">
      <t>コウホウ</t>
    </rPh>
    <rPh sb="2" eb="4">
      <t>キゴウ</t>
    </rPh>
    <phoneticPr fontId="2"/>
  </si>
  <si>
    <t>保護ナルファルト塗膜シート工法</t>
    <rPh sb="0" eb="2">
      <t>ホゴ</t>
    </rPh>
    <rPh sb="8" eb="10">
      <t>トマク</t>
    </rPh>
    <rPh sb="13" eb="15">
      <t>コウホウ</t>
    </rPh>
    <phoneticPr fontId="2"/>
  </si>
  <si>
    <t>保護断熱ナルファルト塗膜シート工法</t>
    <rPh sb="0" eb="2">
      <t>ホゴ</t>
    </rPh>
    <rPh sb="2" eb="4">
      <t>ダンネツ</t>
    </rPh>
    <rPh sb="10" eb="12">
      <t>トマク</t>
    </rPh>
    <rPh sb="15" eb="17">
      <t>コウホウ</t>
    </rPh>
    <phoneticPr fontId="2"/>
  </si>
  <si>
    <t>屋根・ルーフバルコニーなどの　保護断熱防水</t>
    <rPh sb="0" eb="2">
      <t>ヤネ</t>
    </rPh>
    <rPh sb="15" eb="17">
      <t>ホゴ</t>
    </rPh>
    <rPh sb="17" eb="19">
      <t>ダンネツ</t>
    </rPh>
    <rPh sb="19" eb="21">
      <t>ボウスイ</t>
    </rPh>
    <phoneticPr fontId="2"/>
  </si>
  <si>
    <t>シングル回復</t>
    <rPh sb="4" eb="6">
      <t>カイフク</t>
    </rPh>
    <phoneticPr fontId="2"/>
  </si>
  <si>
    <t>シングル葺き屋根改修露出工法（遮熱仕様・硅砂仕様）</t>
    <rPh sb="4" eb="5">
      <t>フ</t>
    </rPh>
    <rPh sb="6" eb="8">
      <t>ヤネ</t>
    </rPh>
    <rPh sb="8" eb="10">
      <t>カイシュウ</t>
    </rPh>
    <rPh sb="10" eb="12">
      <t>ロシュツ</t>
    </rPh>
    <rPh sb="12" eb="14">
      <t>コウホウ</t>
    </rPh>
    <rPh sb="15" eb="16">
      <t>シャ</t>
    </rPh>
    <rPh sb="16" eb="17">
      <t>ネツ</t>
    </rPh>
    <rPh sb="17" eb="19">
      <t>シヨウ</t>
    </rPh>
    <rPh sb="20" eb="21">
      <t>ケイ</t>
    </rPh>
    <rPh sb="21" eb="22">
      <t>スナ</t>
    </rPh>
    <rPh sb="22" eb="24">
      <t>シヨウ</t>
    </rPh>
    <phoneticPr fontId="2"/>
  </si>
  <si>
    <t>計算表の使用方法</t>
    <rPh sb="0" eb="2">
      <t>ケイサン</t>
    </rPh>
    <rPh sb="2" eb="3">
      <t>ヒョウ</t>
    </rPh>
    <rPh sb="4" eb="6">
      <t>シヨウ</t>
    </rPh>
    <rPh sb="6" eb="8">
      <t>ホウホウ</t>
    </rPh>
    <phoneticPr fontId="2"/>
  </si>
  <si>
    <t>※立上り高さは　０．５ｍ以外の場合　その平均数値を入れてください。</t>
    <rPh sb="1" eb="3">
      <t>タチアガ</t>
    </rPh>
    <rPh sb="4" eb="5">
      <t>タカ</t>
    </rPh>
    <rPh sb="12" eb="14">
      <t>イガイ</t>
    </rPh>
    <rPh sb="15" eb="17">
      <t>バアイ</t>
    </rPh>
    <rPh sb="20" eb="22">
      <t>ヘイキン</t>
    </rPh>
    <rPh sb="22" eb="24">
      <t>スウチ</t>
    </rPh>
    <rPh sb="25" eb="26">
      <t>イ</t>
    </rPh>
    <phoneticPr fontId="2"/>
  </si>
  <si>
    <t>Ⅰ欄の水色枠に数値を入れると、自動計算されて　材料の必要数量（Ⅱ欄）が算出されます。　</t>
    <rPh sb="1" eb="2">
      <t>ラン</t>
    </rPh>
    <rPh sb="3" eb="5">
      <t>ミズイロ</t>
    </rPh>
    <rPh sb="5" eb="6">
      <t>ワク</t>
    </rPh>
    <rPh sb="7" eb="9">
      <t>スウチ</t>
    </rPh>
    <rPh sb="10" eb="11">
      <t>イ</t>
    </rPh>
    <rPh sb="15" eb="17">
      <t>ジドウ</t>
    </rPh>
    <rPh sb="17" eb="19">
      <t>ケイサン</t>
    </rPh>
    <rPh sb="23" eb="25">
      <t>ザイリョウ</t>
    </rPh>
    <rPh sb="26" eb="28">
      <t>ヒツヨウ</t>
    </rPh>
    <rPh sb="28" eb="30">
      <t>スウリョウ</t>
    </rPh>
    <rPh sb="32" eb="33">
      <t>ラン</t>
    </rPh>
    <rPh sb="35" eb="37">
      <t>サンシュツ</t>
    </rPh>
    <phoneticPr fontId="2"/>
  </si>
  <si>
    <t>　　　例：</t>
    <rPh sb="3" eb="4">
      <t>レイ</t>
    </rPh>
    <phoneticPr fontId="2"/>
  </si>
  <si>
    <t>（それぞれに枠に計算式を入れています。その結果　自動的に計算されます。）</t>
    <rPh sb="6" eb="7">
      <t>ワク</t>
    </rPh>
    <rPh sb="8" eb="10">
      <t>ケイサン</t>
    </rPh>
    <rPh sb="10" eb="11">
      <t>シキ</t>
    </rPh>
    <rPh sb="12" eb="13">
      <t>イ</t>
    </rPh>
    <rPh sb="21" eb="23">
      <t>ケッカ</t>
    </rPh>
    <rPh sb="24" eb="26">
      <t>ジドウ</t>
    </rPh>
    <rPh sb="26" eb="27">
      <t>テキ</t>
    </rPh>
    <rPh sb="28" eb="30">
      <t>ケイサン</t>
    </rPh>
    <phoneticPr fontId="2"/>
  </si>
  <si>
    <t>Ⅰ欄の水色枠の数値だけ　その都度　入れ替えてご使用ください。）</t>
    <rPh sb="1" eb="2">
      <t>ラン</t>
    </rPh>
    <rPh sb="3" eb="5">
      <t>ミズイロ</t>
    </rPh>
    <rPh sb="5" eb="6">
      <t>ワク</t>
    </rPh>
    <rPh sb="7" eb="9">
      <t>スウチ</t>
    </rPh>
    <rPh sb="14" eb="16">
      <t>ツド</t>
    </rPh>
    <rPh sb="17" eb="18">
      <t>イ</t>
    </rPh>
    <rPh sb="19" eb="20">
      <t>カ</t>
    </rPh>
    <rPh sb="23" eb="25">
      <t>シヨウ</t>
    </rPh>
    <phoneticPr fontId="2"/>
  </si>
  <si>
    <t>それぞれのシートは工法毎に作成されています。</t>
    <rPh sb="9" eb="11">
      <t>コウホウ</t>
    </rPh>
    <rPh sb="11" eb="12">
      <t>ゴト</t>
    </rPh>
    <rPh sb="13" eb="15">
      <t>サクセイ</t>
    </rPh>
    <phoneticPr fontId="2"/>
  </si>
  <si>
    <t>アスファルトシングル葺き屋根の防水機能回復に</t>
    <rPh sb="10" eb="11">
      <t>フ</t>
    </rPh>
    <rPh sb="12" eb="14">
      <t>ヤネ</t>
    </rPh>
    <rPh sb="15" eb="17">
      <t>ボウスイ</t>
    </rPh>
    <rPh sb="17" eb="19">
      <t>キノウ</t>
    </rPh>
    <rPh sb="19" eb="21">
      <t>カイフク</t>
    </rPh>
    <phoneticPr fontId="2"/>
  </si>
  <si>
    <t>笠木天端を施工しない場合は　0値を入れてください。</t>
    <rPh sb="0" eb="2">
      <t>カサギ</t>
    </rPh>
    <rPh sb="2" eb="3">
      <t>テン</t>
    </rPh>
    <rPh sb="3" eb="4">
      <t>タン</t>
    </rPh>
    <rPh sb="5" eb="7">
      <t>セコウ</t>
    </rPh>
    <rPh sb="10" eb="12">
      <t>バアイ</t>
    </rPh>
    <rPh sb="15" eb="16">
      <t>チ</t>
    </rPh>
    <rPh sb="17" eb="18">
      <t>イ</t>
    </rPh>
    <phoneticPr fontId="2"/>
  </si>
  <si>
    <t>使用方法に関しての問い合わせ先</t>
    <rPh sb="0" eb="2">
      <t>シヨウ</t>
    </rPh>
    <rPh sb="2" eb="4">
      <t>ホウホウ</t>
    </rPh>
    <rPh sb="5" eb="6">
      <t>カン</t>
    </rPh>
    <rPh sb="9" eb="10">
      <t>ト</t>
    </rPh>
    <rPh sb="11" eb="12">
      <t>ア</t>
    </rPh>
    <rPh sb="14" eb="15">
      <t>サキ</t>
    </rPh>
    <phoneticPr fontId="2"/>
  </si>
  <si>
    <t>　表中　Ⅰ欄　（水色の枠欄）　に　施工数量を算入してください。</t>
    <rPh sb="1" eb="2">
      <t>ヒョウ</t>
    </rPh>
    <rPh sb="2" eb="3">
      <t>チュウ</t>
    </rPh>
    <rPh sb="5" eb="6">
      <t>ラン</t>
    </rPh>
    <rPh sb="8" eb="10">
      <t>ミズイロ</t>
    </rPh>
    <rPh sb="11" eb="12">
      <t>ワク</t>
    </rPh>
    <rPh sb="12" eb="13">
      <t>ラン</t>
    </rPh>
    <rPh sb="17" eb="19">
      <t>セコウ</t>
    </rPh>
    <rPh sb="19" eb="21">
      <t>スウリョウ</t>
    </rPh>
    <rPh sb="22" eb="24">
      <t>サンニュウ</t>
    </rPh>
    <phoneticPr fontId="2"/>
  </si>
  <si>
    <t>　０７２－８５８－５９０２　　石原まで</t>
    <rPh sb="15" eb="17">
      <t>イシハラ</t>
    </rPh>
    <phoneticPr fontId="2"/>
  </si>
  <si>
    <t>　成瀬化学株式会社大阪営業所　</t>
    <rPh sb="1" eb="3">
      <t>ナルセ</t>
    </rPh>
    <rPh sb="3" eb="5">
      <t>カガク</t>
    </rPh>
    <rPh sb="5" eb="9">
      <t>カブシキガイシャ</t>
    </rPh>
    <rPh sb="9" eb="11">
      <t>オオサカ</t>
    </rPh>
    <rPh sb="11" eb="14">
      <t>エイギョウショ</t>
    </rPh>
    <phoneticPr fontId="2"/>
  </si>
  <si>
    <t>遮熱トップ　軽歩行</t>
    <rPh sb="0" eb="1">
      <t>シャ</t>
    </rPh>
    <rPh sb="1" eb="2">
      <t>ネツ</t>
    </rPh>
    <rPh sb="6" eb="7">
      <t>ケイ</t>
    </rPh>
    <rPh sb="7" eb="9">
      <t>ホコウ</t>
    </rPh>
    <phoneticPr fontId="2"/>
  </si>
  <si>
    <t>遮熱トップ　非歩行</t>
    <rPh sb="0" eb="1">
      <t>シャ</t>
    </rPh>
    <rPh sb="1" eb="2">
      <t>ネツ</t>
    </rPh>
    <rPh sb="6" eb="7">
      <t>ヒ</t>
    </rPh>
    <rPh sb="7" eb="9">
      <t>ホコウ</t>
    </rPh>
    <phoneticPr fontId="2"/>
  </si>
  <si>
    <t>ナルファルト防水　NWW-110-99　　材料数量計算書</t>
    <rPh sb="6" eb="8">
      <t>ボウスイ</t>
    </rPh>
    <rPh sb="21" eb="23">
      <t>ザイリョウ</t>
    </rPh>
    <rPh sb="23" eb="25">
      <t>スウリョウ</t>
    </rPh>
    <rPh sb="25" eb="28">
      <t>ケイサンショ</t>
    </rPh>
    <phoneticPr fontId="2"/>
  </si>
  <si>
    <t>床版橋面防水</t>
    <rPh sb="0" eb="1">
      <t>ユカ</t>
    </rPh>
    <rPh sb="1" eb="2">
      <t>バン</t>
    </rPh>
    <rPh sb="2" eb="3">
      <t>ハシ</t>
    </rPh>
    <rPh sb="3" eb="4">
      <t>メン</t>
    </rPh>
    <rPh sb="4" eb="6">
      <t>ボウスイ</t>
    </rPh>
    <phoneticPr fontId="2"/>
  </si>
  <si>
    <t>ナルファルト防水工法</t>
    <rPh sb="6" eb="8">
      <t>ボウスイ</t>
    </rPh>
    <rPh sb="8" eb="10">
      <t>コウホウ</t>
    </rPh>
    <phoneticPr fontId="2"/>
  </si>
  <si>
    <t>道路床版橋面の防水でアスファルトコンクリートまたはコンクリート･モルタルで保護される部分</t>
    <rPh sb="0" eb="2">
      <t>ドウロ</t>
    </rPh>
    <rPh sb="2" eb="3">
      <t>ユカ</t>
    </rPh>
    <rPh sb="3" eb="4">
      <t>バン</t>
    </rPh>
    <rPh sb="4" eb="5">
      <t>ハシ</t>
    </rPh>
    <rPh sb="5" eb="6">
      <t>メン</t>
    </rPh>
    <rPh sb="7" eb="9">
      <t>ボウスイ</t>
    </rPh>
    <rPh sb="37" eb="39">
      <t>ホゴ</t>
    </rPh>
    <rPh sb="42" eb="44">
      <t>ブブン</t>
    </rPh>
    <phoneticPr fontId="2"/>
  </si>
  <si>
    <t>立上り入り隅　補強布</t>
    <rPh sb="0" eb="2">
      <t>タチアガ</t>
    </rPh>
    <rPh sb="3" eb="4">
      <t>イ</t>
    </rPh>
    <rPh sb="5" eb="6">
      <t>スミ</t>
    </rPh>
    <rPh sb="7" eb="9">
      <t>ホキョウ</t>
    </rPh>
    <rPh sb="9" eb="10">
      <t>フ</t>
    </rPh>
    <phoneticPr fontId="2"/>
  </si>
  <si>
    <t>t0.15 1.8×50m</t>
    <phoneticPr fontId="2"/>
  </si>
  <si>
    <r>
      <t>t0.15 1</t>
    </r>
    <r>
      <rPr>
        <sz val="11"/>
        <rFont val="ＭＳ Ｐゴシック"/>
        <family val="3"/>
        <charset val="128"/>
      </rPr>
      <t>.8</t>
    </r>
    <r>
      <rPr>
        <sz val="11"/>
        <rFont val="ＭＳ Ｐゴシック"/>
        <family val="3"/>
        <charset val="128"/>
      </rPr>
      <t>×50m</t>
    </r>
    <phoneticPr fontId="2"/>
  </si>
  <si>
    <t>折板･瓦棒屋根改修工法　露出工法（遮熱仕様）</t>
    <rPh sb="0" eb="1">
      <t>オリ</t>
    </rPh>
    <rPh sb="1" eb="2">
      <t>イタ</t>
    </rPh>
    <rPh sb="3" eb="4">
      <t>カワラ</t>
    </rPh>
    <rPh sb="4" eb="5">
      <t>ボウ</t>
    </rPh>
    <rPh sb="5" eb="7">
      <t>ヤネ</t>
    </rPh>
    <rPh sb="7" eb="9">
      <t>カイシュウ</t>
    </rPh>
    <rPh sb="9" eb="11">
      <t>コウホウ</t>
    </rPh>
    <rPh sb="12" eb="14">
      <t>ロシュツ</t>
    </rPh>
    <rPh sb="14" eb="16">
      <t>コウホウ</t>
    </rPh>
    <rPh sb="17" eb="18">
      <t>シャ</t>
    </rPh>
    <rPh sb="18" eb="19">
      <t>ネツ</t>
    </rPh>
    <rPh sb="19" eb="21">
      <t>シヨウ</t>
    </rPh>
    <phoneticPr fontId="2"/>
  </si>
  <si>
    <t>折板･瓦棒屋根改修工法　露出工法（硅砂仕様）</t>
    <rPh sb="0" eb="1">
      <t>オリ</t>
    </rPh>
    <rPh sb="1" eb="2">
      <t>イタ</t>
    </rPh>
    <rPh sb="3" eb="4">
      <t>カワラ</t>
    </rPh>
    <rPh sb="4" eb="5">
      <t>ボウ</t>
    </rPh>
    <rPh sb="5" eb="7">
      <t>ヤネ</t>
    </rPh>
    <rPh sb="7" eb="9">
      <t>カイシュウ</t>
    </rPh>
    <rPh sb="9" eb="11">
      <t>コウホウ</t>
    </rPh>
    <rPh sb="12" eb="14">
      <t>ロシュツ</t>
    </rPh>
    <rPh sb="14" eb="16">
      <t>コウホウ</t>
    </rPh>
    <rPh sb="17" eb="18">
      <t>ケイ</t>
    </rPh>
    <rPh sb="18" eb="19">
      <t>スナ</t>
    </rPh>
    <rPh sb="19" eb="21">
      <t>シヨウ</t>
    </rPh>
    <phoneticPr fontId="2"/>
  </si>
  <si>
    <r>
      <t>0.</t>
    </r>
    <r>
      <rPr>
        <sz val="11"/>
        <rFont val="ＭＳ Ｐゴシック"/>
        <family val="3"/>
        <charset val="128"/>
      </rPr>
      <t>5kg/㎡</t>
    </r>
    <phoneticPr fontId="2"/>
  </si>
  <si>
    <t>18kgﾎﾟﾘﾍﾟｰﾙ缶</t>
    <rPh sb="11" eb="12">
      <t>カン</t>
    </rPh>
    <phoneticPr fontId="2"/>
  </si>
  <si>
    <t>保護塗布（遮熱トップ）</t>
    <rPh sb="0" eb="2">
      <t>ホゴ</t>
    </rPh>
    <rPh sb="2" eb="4">
      <t>トフ</t>
    </rPh>
    <rPh sb="5" eb="6">
      <t>シャ</t>
    </rPh>
    <rPh sb="6" eb="7">
      <t>ネツ</t>
    </rPh>
    <phoneticPr fontId="2"/>
  </si>
  <si>
    <t>ナルファルトトップー遮熱S</t>
    <rPh sb="10" eb="11">
      <t>シャ</t>
    </rPh>
    <rPh sb="11" eb="12">
      <t>ネツ</t>
    </rPh>
    <phoneticPr fontId="2"/>
  </si>
  <si>
    <t>15kgﾎﾟﾘﾍﾟｰﾙ缶</t>
    <rPh sb="11" eb="12">
      <t>カン</t>
    </rPh>
    <phoneticPr fontId="2"/>
  </si>
  <si>
    <t>いずれかを選択</t>
    <rPh sb="5" eb="7">
      <t>センタク</t>
    </rPh>
    <phoneticPr fontId="2"/>
  </si>
  <si>
    <t>ナルファルトトップー遮熱P</t>
    <rPh sb="10" eb="11">
      <t>シャ</t>
    </rPh>
    <rPh sb="11" eb="12">
      <t>ネツ</t>
    </rPh>
    <phoneticPr fontId="2"/>
  </si>
  <si>
    <t>ナルファルトプライマー</t>
    <phoneticPr fontId="2"/>
  </si>
  <si>
    <t>2kg　（WPに同梱）</t>
    <rPh sb="8" eb="10">
      <t>ドウコン</t>
    </rPh>
    <phoneticPr fontId="2"/>
  </si>
  <si>
    <t>非歩行</t>
    <rPh sb="0" eb="1">
      <t>ヒ</t>
    </rPh>
    <rPh sb="1" eb="3">
      <t>ホコウ</t>
    </rPh>
    <phoneticPr fontId="2"/>
  </si>
  <si>
    <t>軽歩行</t>
    <rPh sb="0" eb="1">
      <t>ケイ</t>
    </rPh>
    <rPh sb="1" eb="3">
      <t>ホコウ</t>
    </rPh>
    <phoneticPr fontId="2"/>
  </si>
  <si>
    <t>個別材料数</t>
    <rPh sb="0" eb="2">
      <t>コベツ</t>
    </rPh>
    <rPh sb="2" eb="4">
      <t>ザイリョウ</t>
    </rPh>
    <rPh sb="4" eb="5">
      <t>スウ</t>
    </rPh>
    <phoneticPr fontId="2"/>
  </si>
  <si>
    <t>手配無用</t>
    <rPh sb="0" eb="2">
      <t>テハイ</t>
    </rPh>
    <rPh sb="2" eb="4">
      <t>ムヨウ</t>
    </rPh>
    <phoneticPr fontId="2"/>
  </si>
  <si>
    <t>算入不要</t>
    <rPh sb="0" eb="2">
      <t>サンニュウ</t>
    </rPh>
    <rPh sb="2" eb="4">
      <t>フヨウ</t>
    </rPh>
    <phoneticPr fontId="2"/>
  </si>
  <si>
    <t>所要量</t>
    <rPh sb="0" eb="2">
      <t>ショヨウ</t>
    </rPh>
    <rPh sb="2" eb="3">
      <t>リョウ</t>
    </rPh>
    <phoneticPr fontId="2"/>
  </si>
  <si>
    <t>円/㎡</t>
    <rPh sb="0" eb="1">
      <t>エン</t>
    </rPh>
    <phoneticPr fontId="2"/>
  </si>
  <si>
    <t>※　1kg/㎡</t>
    <phoneticPr fontId="2"/>
  </si>
  <si>
    <t>※0.5ｋｇ/㎡</t>
    <phoneticPr fontId="2"/>
  </si>
  <si>
    <t>1）</t>
    <phoneticPr fontId="2"/>
  </si>
  <si>
    <t>ﾌﾟﾗｲﾏｰ</t>
    <phoneticPr fontId="2"/>
  </si>
  <si>
    <t>ナルファルトプライマー</t>
    <phoneticPr fontId="2"/>
  </si>
  <si>
    <t>ナルファルトWP</t>
    <phoneticPr fontId="2"/>
  </si>
  <si>
    <t>1）</t>
    <phoneticPr fontId="2"/>
  </si>
  <si>
    <t>①</t>
    <phoneticPr fontId="2"/>
  </si>
  <si>
    <t>㎡</t>
    <phoneticPr fontId="2"/>
  </si>
  <si>
    <t>②</t>
    <phoneticPr fontId="2"/>
  </si>
  <si>
    <t>ｍ</t>
    <phoneticPr fontId="2"/>
  </si>
  <si>
    <t>①＋②+③</t>
    <phoneticPr fontId="2"/>
  </si>
  <si>
    <t>2）</t>
    <phoneticPr fontId="2"/>
  </si>
  <si>
    <t>ｽﾁﾚﾝﾌｫｰﾑ　t20</t>
    <phoneticPr fontId="2"/>
  </si>
  <si>
    <r>
      <t>地下外壁後付け工法　(国交省　Y-1工法</t>
    </r>
    <r>
      <rPr>
        <sz val="11"/>
        <rFont val="ＭＳ Ｐゴシック"/>
        <family val="3"/>
        <charset val="128"/>
      </rPr>
      <t xml:space="preserve">    JASS 8  L-GU工法</t>
    </r>
    <r>
      <rPr>
        <sz val="11"/>
        <rFont val="ＭＳ Ｐゴシック"/>
        <family val="3"/>
        <charset val="128"/>
      </rPr>
      <t>）</t>
    </r>
    <rPh sb="0" eb="2">
      <t>チカ</t>
    </rPh>
    <rPh sb="2" eb="4">
      <t>ガイヘキ</t>
    </rPh>
    <rPh sb="4" eb="5">
      <t>アト</t>
    </rPh>
    <rPh sb="5" eb="6">
      <t>ツ</t>
    </rPh>
    <rPh sb="7" eb="9">
      <t>コウホウ</t>
    </rPh>
    <rPh sb="11" eb="14">
      <t>コッコウショウ</t>
    </rPh>
    <rPh sb="18" eb="20">
      <t>コウホウ</t>
    </rPh>
    <rPh sb="36" eb="38">
      <t>コウホウ</t>
    </rPh>
    <phoneticPr fontId="2"/>
  </si>
  <si>
    <t>ﾌﾟﾗｲﾏｰ</t>
    <phoneticPr fontId="2"/>
  </si>
  <si>
    <t>※0.5ｋｇ/㎡</t>
    <phoneticPr fontId="2"/>
  </si>
  <si>
    <t>露出仕上げ材</t>
    <rPh sb="0" eb="2">
      <t>ロシュツ</t>
    </rPh>
    <rPh sb="2" eb="4">
      <t>シア</t>
    </rPh>
    <rPh sb="5" eb="6">
      <t>ザイ</t>
    </rPh>
    <phoneticPr fontId="2"/>
  </si>
  <si>
    <t>種類</t>
    <rPh sb="0" eb="2">
      <t>シュルイ</t>
    </rPh>
    <phoneticPr fontId="2"/>
  </si>
  <si>
    <t>通常　軽歩行</t>
    <rPh sb="0" eb="2">
      <t>ツウジョウ</t>
    </rPh>
    <rPh sb="3" eb="4">
      <t>ケイ</t>
    </rPh>
    <rPh sb="4" eb="6">
      <t>ホコウ</t>
    </rPh>
    <phoneticPr fontId="2"/>
  </si>
  <si>
    <t>通常　非歩行</t>
    <rPh sb="0" eb="2">
      <t>ツウジョウ</t>
    </rPh>
    <rPh sb="3" eb="4">
      <t>ヒ</t>
    </rPh>
    <rPh sb="4" eb="6">
      <t>ホコウ</t>
    </rPh>
    <phoneticPr fontId="2"/>
  </si>
  <si>
    <t>※露出仕上げ材は、通常か遮熱か、軽歩行か非歩行か　どちらか一つを選択してください。</t>
    <rPh sb="1" eb="3">
      <t>ロシュツ</t>
    </rPh>
    <rPh sb="3" eb="5">
      <t>シア</t>
    </rPh>
    <rPh sb="6" eb="7">
      <t>ザイ</t>
    </rPh>
    <rPh sb="9" eb="11">
      <t>ツウジョウ</t>
    </rPh>
    <rPh sb="12" eb="13">
      <t>シャ</t>
    </rPh>
    <rPh sb="13" eb="14">
      <t>ネツ</t>
    </rPh>
    <rPh sb="16" eb="17">
      <t>ケイ</t>
    </rPh>
    <rPh sb="17" eb="19">
      <t>ホコウ</t>
    </rPh>
    <rPh sb="20" eb="21">
      <t>ヒ</t>
    </rPh>
    <rPh sb="21" eb="23">
      <t>ホコウ</t>
    </rPh>
    <rPh sb="29" eb="30">
      <t>ヒト</t>
    </rPh>
    <rPh sb="32" eb="34">
      <t>センタク</t>
    </rPh>
    <phoneticPr fontId="2"/>
  </si>
  <si>
    <t>ナルファルトトップS</t>
    <phoneticPr fontId="2"/>
  </si>
  <si>
    <t>ナルファルトトップP</t>
    <phoneticPr fontId="2"/>
  </si>
  <si>
    <t>露出ナルファルト塗膜シート防水絶縁工法　4kg塗布仕様　　材料数量計算書</t>
    <rPh sb="0" eb="2">
      <t>ロシュツ</t>
    </rPh>
    <rPh sb="8" eb="10">
      <t>トマク</t>
    </rPh>
    <rPh sb="13" eb="15">
      <t>ボウスイ</t>
    </rPh>
    <rPh sb="15" eb="17">
      <t>ゼツエン</t>
    </rPh>
    <rPh sb="17" eb="19">
      <t>コウホウ</t>
    </rPh>
    <rPh sb="23" eb="25">
      <t>トフ</t>
    </rPh>
    <rPh sb="25" eb="27">
      <t>シヨウ</t>
    </rPh>
    <rPh sb="29" eb="31">
      <t>ザイリョウ</t>
    </rPh>
    <rPh sb="31" eb="33">
      <t>スウリョウ</t>
    </rPh>
    <rPh sb="33" eb="36">
      <t>ケイサンショ</t>
    </rPh>
    <phoneticPr fontId="2"/>
  </si>
  <si>
    <t>露出ナルファルト塗膜シート防水絶縁工法　2kg塗布仕様　　材料数量計算書</t>
    <rPh sb="0" eb="2">
      <t>ロシュツ</t>
    </rPh>
    <rPh sb="8" eb="10">
      <t>トマク</t>
    </rPh>
    <rPh sb="13" eb="15">
      <t>ボウスイ</t>
    </rPh>
    <rPh sb="15" eb="17">
      <t>ゼツエン</t>
    </rPh>
    <rPh sb="17" eb="19">
      <t>コウホウ</t>
    </rPh>
    <rPh sb="23" eb="25">
      <t>トフ</t>
    </rPh>
    <rPh sb="25" eb="27">
      <t>シヨウ</t>
    </rPh>
    <rPh sb="29" eb="31">
      <t>ザイリョウ</t>
    </rPh>
    <rPh sb="31" eb="33">
      <t>スウリョウ</t>
    </rPh>
    <rPh sb="33" eb="36">
      <t>ケイサンショ</t>
    </rPh>
    <phoneticPr fontId="2"/>
  </si>
  <si>
    <t>露出ナルファルト塗膜シート防水　密着工法　材料数量計算書</t>
    <rPh sb="0" eb="2">
      <t>ロシュツ</t>
    </rPh>
    <rPh sb="8" eb="10">
      <t>トマク</t>
    </rPh>
    <rPh sb="13" eb="15">
      <t>ボウスイ</t>
    </rPh>
    <rPh sb="16" eb="18">
      <t>ミッチャク</t>
    </rPh>
    <rPh sb="18" eb="20">
      <t>コウホウ</t>
    </rPh>
    <rPh sb="21" eb="23">
      <t>ザイリョウ</t>
    </rPh>
    <rPh sb="23" eb="25">
      <t>スウリョウ</t>
    </rPh>
    <rPh sb="25" eb="28">
      <t>ケイサンショ</t>
    </rPh>
    <phoneticPr fontId="2"/>
  </si>
  <si>
    <t>露出ナルファルト塗膜シート防水密着工法　2kg塗布仕様　　材料数量計算書</t>
    <rPh sb="0" eb="2">
      <t>ロシュツ</t>
    </rPh>
    <rPh sb="8" eb="10">
      <t>トマク</t>
    </rPh>
    <rPh sb="13" eb="15">
      <t>ボウスイ</t>
    </rPh>
    <rPh sb="15" eb="17">
      <t>ミッチャク</t>
    </rPh>
    <rPh sb="17" eb="19">
      <t>コウホウ</t>
    </rPh>
    <rPh sb="23" eb="25">
      <t>トフ</t>
    </rPh>
    <rPh sb="25" eb="27">
      <t>シヨウ</t>
    </rPh>
    <rPh sb="29" eb="31">
      <t>ザイリョウ</t>
    </rPh>
    <rPh sb="31" eb="33">
      <t>スウリョウ</t>
    </rPh>
    <rPh sb="33" eb="36">
      <t>ケイサンショ</t>
    </rPh>
    <phoneticPr fontId="2"/>
  </si>
  <si>
    <t>備考</t>
    <rPh sb="0" eb="2">
      <t>ビコウ</t>
    </rPh>
    <phoneticPr fontId="2"/>
  </si>
  <si>
    <t>笠木天端･床</t>
    <rPh sb="0" eb="2">
      <t>カサギ</t>
    </rPh>
    <rPh sb="2" eb="3">
      <t>テン</t>
    </rPh>
    <rPh sb="3" eb="4">
      <t>タン</t>
    </rPh>
    <rPh sb="5" eb="6">
      <t>ユカ</t>
    </rPh>
    <phoneticPr fontId="2"/>
  </si>
  <si>
    <t>保護　　2kg</t>
    <rPh sb="0" eb="2">
      <t>ホゴ</t>
    </rPh>
    <phoneticPr fontId="2"/>
  </si>
  <si>
    <t>露出密着　2kg</t>
    <rPh sb="0" eb="2">
      <t>ロシュツ</t>
    </rPh>
    <rPh sb="2" eb="4">
      <t>ミッチャク</t>
    </rPh>
    <phoneticPr fontId="2"/>
  </si>
  <si>
    <t>露出密着　4kg</t>
    <rPh sb="0" eb="2">
      <t>ロシュツ</t>
    </rPh>
    <rPh sb="2" eb="4">
      <t>ミッチャク</t>
    </rPh>
    <phoneticPr fontId="2"/>
  </si>
  <si>
    <t>露出絶縁　2kg</t>
    <rPh sb="0" eb="2">
      <t>ロシュツ</t>
    </rPh>
    <rPh sb="2" eb="4">
      <t>ゼツエン</t>
    </rPh>
    <phoneticPr fontId="2"/>
  </si>
  <si>
    <t>露出絶縁　4kg</t>
    <rPh sb="0" eb="2">
      <t>ロシュツ</t>
    </rPh>
    <rPh sb="2" eb="4">
      <t>ゼツエン</t>
    </rPh>
    <phoneticPr fontId="2"/>
  </si>
  <si>
    <t>地下防水　2kg</t>
    <rPh sb="0" eb="2">
      <t>チカ</t>
    </rPh>
    <rPh sb="2" eb="4">
      <t>ボウスイ</t>
    </rPh>
    <phoneticPr fontId="2"/>
  </si>
  <si>
    <t>地下外壁外防水　Y-1工法相当（　防水性能が同等　）</t>
    <rPh sb="0" eb="2">
      <t>チカ</t>
    </rPh>
    <rPh sb="2" eb="4">
      <t>ガイヘキ</t>
    </rPh>
    <rPh sb="4" eb="5">
      <t>ソト</t>
    </rPh>
    <rPh sb="5" eb="7">
      <t>ボウスイ</t>
    </rPh>
    <rPh sb="11" eb="13">
      <t>コウホウ</t>
    </rPh>
    <rPh sb="13" eb="15">
      <t>ソウトウ</t>
    </rPh>
    <rPh sb="17" eb="19">
      <t>ボウスイ</t>
    </rPh>
    <rPh sb="19" eb="20">
      <t>セイ</t>
    </rPh>
    <rPh sb="20" eb="21">
      <t>ノウ</t>
    </rPh>
    <rPh sb="22" eb="24">
      <t>ドウトウ</t>
    </rPh>
    <phoneticPr fontId="2"/>
  </si>
  <si>
    <t>地下外壁後付工法　塗布量2kg　厚さ約　1.6mm</t>
    <rPh sb="0" eb="2">
      <t>チカ</t>
    </rPh>
    <rPh sb="2" eb="4">
      <t>ガイヘキ</t>
    </rPh>
    <rPh sb="4" eb="5">
      <t>アト</t>
    </rPh>
    <rPh sb="5" eb="6">
      <t>ツ</t>
    </rPh>
    <rPh sb="6" eb="8">
      <t>コウホウ</t>
    </rPh>
    <rPh sb="9" eb="11">
      <t>トフ</t>
    </rPh>
    <rPh sb="11" eb="12">
      <t>リョウ</t>
    </rPh>
    <rPh sb="16" eb="17">
      <t>アツ</t>
    </rPh>
    <rPh sb="18" eb="19">
      <t>ヤク</t>
    </rPh>
    <phoneticPr fontId="2"/>
  </si>
  <si>
    <t>厚み　2.4mm以上でX-2相当</t>
    <rPh sb="0" eb="1">
      <t>アツ</t>
    </rPh>
    <rPh sb="8" eb="10">
      <t>イジョウ</t>
    </rPh>
    <rPh sb="14" eb="16">
      <t>ソウトウ</t>
    </rPh>
    <phoneticPr fontId="2"/>
  </si>
  <si>
    <t>厚み　3mm以上でX-2同等</t>
    <rPh sb="0" eb="1">
      <t>アツ</t>
    </rPh>
    <rPh sb="6" eb="8">
      <t>イジョウ</t>
    </rPh>
    <rPh sb="12" eb="14">
      <t>ドウトウ</t>
    </rPh>
    <phoneticPr fontId="2"/>
  </si>
  <si>
    <t>厚み　2.4mm以上でX-１相当</t>
    <rPh sb="0" eb="1">
      <t>アツ</t>
    </rPh>
    <rPh sb="8" eb="10">
      <t>イジョウ</t>
    </rPh>
    <rPh sb="14" eb="16">
      <t>ソウトウ</t>
    </rPh>
    <phoneticPr fontId="2"/>
  </si>
  <si>
    <t>厚み　3mm以上でX-1同等</t>
    <rPh sb="0" eb="1">
      <t>アツ</t>
    </rPh>
    <rPh sb="6" eb="8">
      <t>イジョウ</t>
    </rPh>
    <rPh sb="12" eb="14">
      <t>ドウトウ</t>
    </rPh>
    <phoneticPr fontId="2"/>
  </si>
  <si>
    <t>床版橋面(土木）</t>
    <rPh sb="0" eb="1">
      <t>ユカ</t>
    </rPh>
    <rPh sb="1" eb="2">
      <t>バン</t>
    </rPh>
    <rPh sb="2" eb="3">
      <t>ハシ</t>
    </rPh>
    <rPh sb="3" eb="4">
      <t>メン</t>
    </rPh>
    <rPh sb="5" eb="7">
      <t>ドボク</t>
    </rPh>
    <phoneticPr fontId="2"/>
  </si>
  <si>
    <t>橋面･床版防水　</t>
    <rPh sb="0" eb="2">
      <t>ハシメン</t>
    </rPh>
    <rPh sb="3" eb="7">
      <t>ユカバンボウスイ</t>
    </rPh>
    <phoneticPr fontId="2"/>
  </si>
  <si>
    <t>コンクリート・アスコンで保護される面</t>
    <rPh sb="12" eb="14">
      <t>ホゴ</t>
    </rPh>
    <rPh sb="17" eb="18">
      <t>メン</t>
    </rPh>
    <phoneticPr fontId="2"/>
  </si>
  <si>
    <t>屋内防水・厨房・便所・浴室　屋外保護防水 　Y-2相当</t>
    <rPh sb="0" eb="2">
      <t>オクナイ</t>
    </rPh>
    <rPh sb="2" eb="4">
      <t>ボウスイ</t>
    </rPh>
    <rPh sb="5" eb="7">
      <t>チュウボウ</t>
    </rPh>
    <rPh sb="8" eb="10">
      <t>ベンジョ</t>
    </rPh>
    <rPh sb="11" eb="13">
      <t>ヨクシツ</t>
    </rPh>
    <rPh sb="14" eb="16">
      <t>オクガイ</t>
    </rPh>
    <rPh sb="16" eb="18">
      <t>ホゴ</t>
    </rPh>
    <rPh sb="18" eb="20">
      <t>ボウスイ</t>
    </rPh>
    <rPh sb="25" eb="27">
      <t>ソウトウ</t>
    </rPh>
    <phoneticPr fontId="2"/>
  </si>
  <si>
    <t>屋内・屋外　Y-2工法</t>
    <rPh sb="0" eb="2">
      <t>オクナイ</t>
    </rPh>
    <rPh sb="3" eb="5">
      <t>オクガイ</t>
    </rPh>
    <rPh sb="9" eb="11">
      <t>コウホウ</t>
    </rPh>
    <phoneticPr fontId="2"/>
  </si>
  <si>
    <t>ナルファルトトップ-遮熱P</t>
    <rPh sb="10" eb="11">
      <t>シャ</t>
    </rPh>
    <rPh sb="11" eb="12">
      <t>ネツ</t>
    </rPh>
    <phoneticPr fontId="2"/>
  </si>
  <si>
    <t>高耐久トップ</t>
    <rPh sb="0" eb="1">
      <t>コウ</t>
    </rPh>
    <rPh sb="1" eb="3">
      <t>タイキュウ</t>
    </rPh>
    <phoneticPr fontId="2"/>
  </si>
  <si>
    <t>ナルファルトﾄｯﾌﾟ_ﾊｰﾄﾞ</t>
    <phoneticPr fontId="2"/>
  </si>
  <si>
    <t>20ｋｇ石油缶</t>
    <rPh sb="4" eb="6">
      <t>セキユ</t>
    </rPh>
    <rPh sb="6" eb="7">
      <t>カン</t>
    </rPh>
    <phoneticPr fontId="2"/>
  </si>
  <si>
    <t>0.5kg/㎡</t>
    <phoneticPr fontId="2"/>
  </si>
  <si>
    <t>砂付きアスファルト防水層　非撤去　防水改修工法</t>
    <rPh sb="0" eb="1">
      <t>スナ</t>
    </rPh>
    <rPh sb="1" eb="2">
      <t>ツ</t>
    </rPh>
    <rPh sb="9" eb="11">
      <t>ボウスイ</t>
    </rPh>
    <rPh sb="11" eb="12">
      <t>ソウ</t>
    </rPh>
    <rPh sb="13" eb="14">
      <t>ヒ</t>
    </rPh>
    <rPh sb="14" eb="16">
      <t>テッキョ</t>
    </rPh>
    <rPh sb="17" eb="19">
      <t>ボウスイ</t>
    </rPh>
    <rPh sb="19" eb="21">
      <t>カイシュウ</t>
    </rPh>
    <rPh sb="21" eb="23">
      <t>コウホウ</t>
    </rPh>
    <phoneticPr fontId="2"/>
  </si>
  <si>
    <t>1）</t>
    <phoneticPr fontId="2"/>
  </si>
  <si>
    <t>素地調整剤</t>
    <rPh sb="0" eb="2">
      <t>ソジ</t>
    </rPh>
    <rPh sb="2" eb="5">
      <t>チョウセイザイ</t>
    </rPh>
    <phoneticPr fontId="2"/>
  </si>
  <si>
    <t>ナルジャスト-P</t>
    <phoneticPr fontId="2"/>
  </si>
  <si>
    <r>
      <t>1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kgﾎﾟﾘﾍﾟｰﾙ缶</t>
    </r>
    <rPh sb="11" eb="12">
      <t>カン</t>
    </rPh>
    <phoneticPr fontId="2"/>
  </si>
  <si>
    <r>
      <t>1</t>
    </r>
    <r>
      <rPr>
        <sz val="11"/>
        <rFont val="ＭＳ Ｐゴシック"/>
        <family val="3"/>
        <charset val="128"/>
      </rPr>
      <t>.0</t>
    </r>
    <r>
      <rPr>
        <sz val="11"/>
        <rFont val="ＭＳ Ｐゴシック"/>
        <family val="3"/>
        <charset val="128"/>
      </rPr>
      <t>kg/㎡</t>
    </r>
    <phoneticPr fontId="2"/>
  </si>
  <si>
    <t>露出密着工法　塗布量2kg　非歩行･軽歩行・遮熱仕様・高耐久</t>
    <rPh sb="0" eb="2">
      <t>ロシュツ</t>
    </rPh>
    <rPh sb="2" eb="4">
      <t>ミッチャク</t>
    </rPh>
    <rPh sb="4" eb="6">
      <t>コウホウ</t>
    </rPh>
    <rPh sb="7" eb="9">
      <t>トフ</t>
    </rPh>
    <rPh sb="9" eb="10">
      <t>リョウ</t>
    </rPh>
    <rPh sb="14" eb="15">
      <t>ヒ</t>
    </rPh>
    <rPh sb="15" eb="17">
      <t>ホコウ</t>
    </rPh>
    <rPh sb="18" eb="19">
      <t>ケイ</t>
    </rPh>
    <rPh sb="19" eb="21">
      <t>ホコウ</t>
    </rPh>
    <rPh sb="22" eb="23">
      <t>シャ</t>
    </rPh>
    <rPh sb="23" eb="24">
      <t>ネツ</t>
    </rPh>
    <rPh sb="24" eb="26">
      <t>シヨウ</t>
    </rPh>
    <rPh sb="27" eb="28">
      <t>コウ</t>
    </rPh>
    <rPh sb="28" eb="30">
      <t>タイキュウ</t>
    </rPh>
    <phoneticPr fontId="2"/>
  </si>
  <si>
    <t>露出絶縁工法　塗布量2kg　非歩行･軽歩行･遮熱仕様・高耐久</t>
    <rPh sb="0" eb="2">
      <t>ロシュツ</t>
    </rPh>
    <rPh sb="2" eb="4">
      <t>ゼツエン</t>
    </rPh>
    <rPh sb="4" eb="6">
      <t>コウホウ</t>
    </rPh>
    <rPh sb="7" eb="9">
      <t>トフ</t>
    </rPh>
    <rPh sb="9" eb="10">
      <t>リョウ</t>
    </rPh>
    <rPh sb="14" eb="15">
      <t>ヒ</t>
    </rPh>
    <rPh sb="15" eb="17">
      <t>ホコウ</t>
    </rPh>
    <rPh sb="18" eb="19">
      <t>ケイ</t>
    </rPh>
    <rPh sb="19" eb="21">
      <t>ホコウ</t>
    </rPh>
    <rPh sb="22" eb="23">
      <t>シャ</t>
    </rPh>
    <rPh sb="23" eb="24">
      <t>ネツ</t>
    </rPh>
    <rPh sb="24" eb="26">
      <t>シヨウ</t>
    </rPh>
    <rPh sb="27" eb="28">
      <t>コウ</t>
    </rPh>
    <rPh sb="28" eb="30">
      <t>タイキュウ</t>
    </rPh>
    <phoneticPr fontId="2"/>
  </si>
  <si>
    <t>NWW-110-99</t>
    <phoneticPr fontId="2"/>
  </si>
  <si>
    <t>①</t>
    <phoneticPr fontId="2"/>
  </si>
  <si>
    <t>㎡</t>
    <phoneticPr fontId="2"/>
  </si>
  <si>
    <t>②</t>
    <phoneticPr fontId="2"/>
  </si>
  <si>
    <t>㎡</t>
    <phoneticPr fontId="2"/>
  </si>
  <si>
    <t>ｍ</t>
    <phoneticPr fontId="2"/>
  </si>
  <si>
    <t>①＋②+③</t>
    <phoneticPr fontId="2"/>
  </si>
  <si>
    <t>㎡</t>
    <phoneticPr fontId="2"/>
  </si>
  <si>
    <r>
      <t>0.</t>
    </r>
    <r>
      <rPr>
        <sz val="11"/>
        <rFont val="ＭＳ Ｐゴシック"/>
        <family val="3"/>
        <charset val="128"/>
      </rPr>
      <t>5kg/㎡</t>
    </r>
    <phoneticPr fontId="2"/>
  </si>
  <si>
    <t>ナルファルトＷＰ-S</t>
    <phoneticPr fontId="2"/>
  </si>
  <si>
    <t>ナルファルトＷＰ-S</t>
    <phoneticPr fontId="2"/>
  </si>
  <si>
    <r>
      <t>1</t>
    </r>
    <r>
      <rPr>
        <sz val="11"/>
        <rFont val="ＭＳ Ｐゴシック"/>
        <family val="3"/>
        <charset val="128"/>
      </rPr>
      <t>.2</t>
    </r>
    <r>
      <rPr>
        <sz val="11"/>
        <rFont val="ＭＳ Ｐゴシック"/>
        <family val="3"/>
        <charset val="128"/>
      </rPr>
      <t>kg/㎡</t>
    </r>
    <phoneticPr fontId="2"/>
  </si>
  <si>
    <t>1.2kg/㎡</t>
    <phoneticPr fontId="2"/>
  </si>
  <si>
    <t>ナルファルトＷＰ-S</t>
    <phoneticPr fontId="2"/>
  </si>
  <si>
    <t>1.2kg/㎡</t>
    <phoneticPr fontId="2"/>
  </si>
  <si>
    <t>20kgペール缶</t>
    <rPh sb="7" eb="8">
      <t>カン</t>
    </rPh>
    <phoneticPr fontId="2"/>
  </si>
  <si>
    <r>
      <t>0</t>
    </r>
    <r>
      <rPr>
        <sz val="11"/>
        <rFont val="ＭＳ Ｐゴシック"/>
        <family val="3"/>
        <charset val="128"/>
      </rPr>
      <t>.5</t>
    </r>
    <r>
      <rPr>
        <sz val="11"/>
        <rFont val="ＭＳ Ｐゴシック"/>
        <family val="3"/>
        <charset val="128"/>
      </rPr>
      <t>kg/㎡</t>
    </r>
    <phoneticPr fontId="2"/>
  </si>
  <si>
    <t>金属屋根(遮熱）</t>
    <rPh sb="0" eb="2">
      <t>キンゾク</t>
    </rPh>
    <rPh sb="2" eb="4">
      <t>ヤネ</t>
    </rPh>
    <rPh sb="5" eb="6">
      <t>シャ</t>
    </rPh>
    <rPh sb="6" eb="7">
      <t>ネツ</t>
    </rPh>
    <phoneticPr fontId="2"/>
  </si>
  <si>
    <t>金属屋根(硅砂）</t>
    <rPh sb="0" eb="2">
      <t>キンゾク</t>
    </rPh>
    <rPh sb="2" eb="4">
      <t>ヤネ</t>
    </rPh>
    <rPh sb="5" eb="6">
      <t>ケイ</t>
    </rPh>
    <rPh sb="6" eb="7">
      <t>スナ</t>
    </rPh>
    <phoneticPr fontId="2"/>
  </si>
  <si>
    <t>金属屋根（高耐久）</t>
    <rPh sb="0" eb="2">
      <t>キンゾク</t>
    </rPh>
    <rPh sb="2" eb="4">
      <t>ヤネ</t>
    </rPh>
    <rPh sb="5" eb="6">
      <t>コウ</t>
    </rPh>
    <rPh sb="6" eb="8">
      <t>タイキュウ</t>
    </rPh>
    <phoneticPr fontId="2"/>
  </si>
  <si>
    <t>折板･瓦棒屋根改修工法　露出工法（高耐久仕様）</t>
    <rPh sb="0" eb="1">
      <t>オリ</t>
    </rPh>
    <rPh sb="1" eb="2">
      <t>イタ</t>
    </rPh>
    <rPh sb="3" eb="4">
      <t>カワラ</t>
    </rPh>
    <rPh sb="4" eb="5">
      <t>ボウ</t>
    </rPh>
    <rPh sb="5" eb="7">
      <t>ヤネ</t>
    </rPh>
    <rPh sb="7" eb="9">
      <t>カイシュウ</t>
    </rPh>
    <rPh sb="9" eb="11">
      <t>コウホウ</t>
    </rPh>
    <rPh sb="12" eb="14">
      <t>ロシュツ</t>
    </rPh>
    <rPh sb="14" eb="16">
      <t>コウホウ</t>
    </rPh>
    <rPh sb="17" eb="18">
      <t>コウ</t>
    </rPh>
    <rPh sb="18" eb="20">
      <t>タイキュウ</t>
    </rPh>
    <rPh sb="20" eb="22">
      <t>シヨウ</t>
    </rPh>
    <phoneticPr fontId="2"/>
  </si>
  <si>
    <t>折板･瓦棒屋根の防水　遮熱仕様</t>
    <rPh sb="0" eb="1">
      <t>オリ</t>
    </rPh>
    <rPh sb="1" eb="2">
      <t>イタ</t>
    </rPh>
    <rPh sb="3" eb="4">
      <t>カワラ</t>
    </rPh>
    <rPh sb="4" eb="5">
      <t>ボウ</t>
    </rPh>
    <rPh sb="5" eb="7">
      <t>ヤネ</t>
    </rPh>
    <rPh sb="8" eb="10">
      <t>ボウスイ</t>
    </rPh>
    <rPh sb="11" eb="12">
      <t>シャ</t>
    </rPh>
    <rPh sb="12" eb="13">
      <t>ネツ</t>
    </rPh>
    <rPh sb="13" eb="15">
      <t>シヨウ</t>
    </rPh>
    <phoneticPr fontId="2"/>
  </si>
  <si>
    <t>折板･瓦棒屋根の防水　高耐久仕様</t>
    <rPh sb="0" eb="1">
      <t>オリ</t>
    </rPh>
    <rPh sb="1" eb="2">
      <t>イタ</t>
    </rPh>
    <rPh sb="3" eb="4">
      <t>カワラ</t>
    </rPh>
    <rPh sb="4" eb="5">
      <t>ボウ</t>
    </rPh>
    <rPh sb="5" eb="7">
      <t>ヤネ</t>
    </rPh>
    <rPh sb="8" eb="10">
      <t>ボウスイ</t>
    </rPh>
    <rPh sb="11" eb="12">
      <t>コウ</t>
    </rPh>
    <rPh sb="12" eb="14">
      <t>タイキュウ</t>
    </rPh>
    <rPh sb="14" eb="16">
      <t>シヨウ</t>
    </rPh>
    <phoneticPr fontId="2"/>
  </si>
  <si>
    <t>折板･瓦棒屋根の防水　硅砂仕様</t>
    <rPh sb="0" eb="1">
      <t>オリ</t>
    </rPh>
    <rPh sb="1" eb="2">
      <t>イタ</t>
    </rPh>
    <rPh sb="3" eb="4">
      <t>カワラ</t>
    </rPh>
    <rPh sb="4" eb="5">
      <t>ボウ</t>
    </rPh>
    <rPh sb="5" eb="7">
      <t>ヤネ</t>
    </rPh>
    <rPh sb="8" eb="10">
      <t>ボウスイ</t>
    </rPh>
    <rPh sb="11" eb="12">
      <t>ケイ</t>
    </rPh>
    <rPh sb="12" eb="13">
      <t>スナ</t>
    </rPh>
    <rPh sb="13" eb="15">
      <t>シヨウ</t>
    </rPh>
    <phoneticPr fontId="2"/>
  </si>
  <si>
    <r>
      <t>0</t>
    </r>
    <r>
      <rPr>
        <sz val="11"/>
        <rFont val="ＭＳ Ｐゴシック"/>
        <family val="3"/>
        <charset val="128"/>
      </rPr>
      <t>.5</t>
    </r>
    <r>
      <rPr>
        <sz val="11"/>
        <rFont val="ＭＳ Ｐゴシック"/>
        <family val="3"/>
        <charset val="128"/>
      </rPr>
      <t>kg/㎡</t>
    </r>
    <phoneticPr fontId="2"/>
  </si>
  <si>
    <t>高耐久遮熱ﾄｯﾌﾟ</t>
    <rPh sb="0" eb="1">
      <t>コウ</t>
    </rPh>
    <rPh sb="1" eb="3">
      <t>タイキュウ</t>
    </rPh>
    <rPh sb="3" eb="4">
      <t>シャ</t>
    </rPh>
    <rPh sb="4" eb="5">
      <t>ネツ</t>
    </rPh>
    <phoneticPr fontId="2"/>
  </si>
  <si>
    <t>16kg缶</t>
    <rPh sb="4" eb="5">
      <t>カン</t>
    </rPh>
    <phoneticPr fontId="2"/>
  </si>
  <si>
    <t>高耐久Pトップ</t>
    <rPh sb="0" eb="1">
      <t>コウ</t>
    </rPh>
    <rPh sb="1" eb="3">
      <t>タイキュウ</t>
    </rPh>
    <phoneticPr fontId="2"/>
  </si>
  <si>
    <t>ﾅﾙﾌｧﾙﾄﾄｯﾌﾟ_ﾊｰﾄﾞP</t>
    <phoneticPr fontId="2"/>
  </si>
  <si>
    <t>高耐久Sトップ</t>
    <rPh sb="0" eb="1">
      <t>コウ</t>
    </rPh>
    <rPh sb="1" eb="3">
      <t>タイキュウ</t>
    </rPh>
    <phoneticPr fontId="2"/>
  </si>
  <si>
    <t>ﾅﾙﾌｧﾙﾄﾄｯﾌﾟ_ﾊｰﾄﾞS</t>
    <phoneticPr fontId="2"/>
  </si>
  <si>
    <t>※0.8ｋｇ/㎡</t>
    <phoneticPr fontId="2"/>
  </si>
  <si>
    <t>ナルファルトトップ＿ハードP</t>
    <phoneticPr fontId="2"/>
  </si>
  <si>
    <t>ナルファルトトップ＿ハードS</t>
    <phoneticPr fontId="2"/>
  </si>
  <si>
    <r>
      <t>0</t>
    </r>
    <r>
      <rPr>
        <sz val="11"/>
        <rFont val="ＭＳ Ｐゴシック"/>
        <family val="3"/>
        <charset val="128"/>
      </rPr>
      <t>.8kg/㎡</t>
    </r>
    <phoneticPr fontId="2"/>
  </si>
  <si>
    <t>いずれかを選択</t>
    <rPh sb="5" eb="7">
      <t>センタク</t>
    </rPh>
    <phoneticPr fontId="2"/>
  </si>
  <si>
    <t>金属屋根（高耐久遮熱）</t>
    <rPh sb="0" eb="2">
      <t>キンゾク</t>
    </rPh>
    <rPh sb="2" eb="4">
      <t>ヤネ</t>
    </rPh>
    <rPh sb="5" eb="6">
      <t>コウ</t>
    </rPh>
    <rPh sb="6" eb="8">
      <t>タイキュウ</t>
    </rPh>
    <rPh sb="8" eb="9">
      <t>シャ</t>
    </rPh>
    <rPh sb="9" eb="10">
      <t>ネツ</t>
    </rPh>
    <phoneticPr fontId="2"/>
  </si>
  <si>
    <t>折板･瓦棒屋根改修工法　露出工法（高耐久遮熱仕様）</t>
    <rPh sb="0" eb="1">
      <t>オリ</t>
    </rPh>
    <rPh sb="1" eb="2">
      <t>イタ</t>
    </rPh>
    <rPh sb="3" eb="4">
      <t>カワラ</t>
    </rPh>
    <rPh sb="4" eb="5">
      <t>ボウ</t>
    </rPh>
    <rPh sb="5" eb="7">
      <t>ヤネ</t>
    </rPh>
    <rPh sb="7" eb="9">
      <t>カイシュウ</t>
    </rPh>
    <rPh sb="9" eb="11">
      <t>コウホウ</t>
    </rPh>
    <rPh sb="12" eb="14">
      <t>ロシュツ</t>
    </rPh>
    <rPh sb="14" eb="16">
      <t>コウホウ</t>
    </rPh>
    <rPh sb="17" eb="18">
      <t>コウ</t>
    </rPh>
    <rPh sb="18" eb="20">
      <t>タイキュウ</t>
    </rPh>
    <rPh sb="20" eb="21">
      <t>シャ</t>
    </rPh>
    <rPh sb="21" eb="22">
      <t>ネツ</t>
    </rPh>
    <rPh sb="22" eb="24">
      <t>シヨウ</t>
    </rPh>
    <phoneticPr fontId="2"/>
  </si>
  <si>
    <t>折板･瓦棒屋根の防水　高耐久遮熱仕様</t>
    <rPh sb="0" eb="1">
      <t>オリ</t>
    </rPh>
    <rPh sb="1" eb="2">
      <t>イタ</t>
    </rPh>
    <rPh sb="3" eb="4">
      <t>カワラ</t>
    </rPh>
    <rPh sb="4" eb="5">
      <t>ボウ</t>
    </rPh>
    <rPh sb="5" eb="7">
      <t>ヤネ</t>
    </rPh>
    <rPh sb="8" eb="10">
      <t>ボウスイ</t>
    </rPh>
    <rPh sb="11" eb="12">
      <t>コウ</t>
    </rPh>
    <rPh sb="12" eb="14">
      <t>タイキュウ</t>
    </rPh>
    <rPh sb="14" eb="15">
      <t>シャ</t>
    </rPh>
    <rPh sb="15" eb="16">
      <t>ネツ</t>
    </rPh>
    <rPh sb="16" eb="18">
      <t>シヨウ</t>
    </rPh>
    <phoneticPr fontId="2"/>
  </si>
  <si>
    <r>
      <t>国交省　Y-2工法　　JASS</t>
    </r>
    <r>
      <rPr>
        <sz val="11"/>
        <rFont val="ＭＳ Ｐゴシック"/>
        <family val="3"/>
        <charset val="128"/>
      </rPr>
      <t xml:space="preserve"> 8  L-GI工法　　　　密着工法</t>
    </r>
    <rPh sb="0" eb="2">
      <t>コッコウ</t>
    </rPh>
    <rPh sb="2" eb="3">
      <t>ショウ</t>
    </rPh>
    <rPh sb="7" eb="9">
      <t>コウホウ</t>
    </rPh>
    <rPh sb="23" eb="25">
      <t>コウホウ</t>
    </rPh>
    <rPh sb="29" eb="31">
      <t>ミッチャク</t>
    </rPh>
    <rPh sb="31" eb="33">
      <t>コウホウ</t>
    </rPh>
    <phoneticPr fontId="2"/>
  </si>
  <si>
    <t>４.2kg/㎡</t>
    <phoneticPr fontId="2"/>
  </si>
  <si>
    <t>4.2kg/㎡</t>
    <phoneticPr fontId="2"/>
  </si>
  <si>
    <t>6.5kg/㎡</t>
    <phoneticPr fontId="2"/>
  </si>
  <si>
    <t>23kgﾎﾟﾘﾍﾟｰﾙ缶</t>
    <rPh sb="11" eb="12">
      <t>カン</t>
    </rPh>
    <phoneticPr fontId="2"/>
  </si>
  <si>
    <t>(荷姿23kgの場合）</t>
    <rPh sb="1" eb="2">
      <t>ニ</t>
    </rPh>
    <rPh sb="2" eb="3">
      <t>スガタ</t>
    </rPh>
    <rPh sb="8" eb="10">
      <t>バアイ</t>
    </rPh>
    <phoneticPr fontId="2"/>
  </si>
  <si>
    <t>缶</t>
    <rPh sb="0" eb="1">
      <t>カン</t>
    </rPh>
    <phoneticPr fontId="2"/>
  </si>
  <si>
    <t>備考</t>
    <rPh sb="0" eb="2">
      <t>ビコウ</t>
    </rPh>
    <phoneticPr fontId="2"/>
  </si>
  <si>
    <t>どちらか選択</t>
    <rPh sb="4" eb="6">
      <t>センタク</t>
    </rPh>
    <phoneticPr fontId="2"/>
  </si>
  <si>
    <t>2kg　（WP同梱、無償）</t>
    <rPh sb="7" eb="9">
      <t>ドウコン</t>
    </rPh>
    <rPh sb="10" eb="12">
      <t>ムショウ</t>
    </rPh>
    <phoneticPr fontId="2"/>
  </si>
  <si>
    <t>10kg缶　(別売り）</t>
    <rPh sb="4" eb="5">
      <t>カン</t>
    </rPh>
    <rPh sb="7" eb="8">
      <t>ベツ</t>
    </rPh>
    <rPh sb="8" eb="9">
      <t>ウ</t>
    </rPh>
    <phoneticPr fontId="2"/>
  </si>
  <si>
    <t>別途調達可</t>
    <rPh sb="0" eb="2">
      <t>ベット</t>
    </rPh>
    <rPh sb="2" eb="4">
      <t>チョウタツ</t>
    </rPh>
    <rPh sb="4" eb="5">
      <t>カ</t>
    </rPh>
    <phoneticPr fontId="2"/>
  </si>
  <si>
    <t>積算は概算です。　施工に当たっては不足分を追加手配してください。</t>
    <rPh sb="0" eb="2">
      <t>セキサン</t>
    </rPh>
    <rPh sb="3" eb="5">
      <t>ガイサン</t>
    </rPh>
    <rPh sb="9" eb="11">
      <t>セコウ</t>
    </rPh>
    <rPh sb="12" eb="13">
      <t>ア</t>
    </rPh>
    <rPh sb="17" eb="19">
      <t>フソク</t>
    </rPh>
    <rPh sb="19" eb="20">
      <t>ブン</t>
    </rPh>
    <rPh sb="21" eb="23">
      <t>ツイカ</t>
    </rPh>
    <rPh sb="23" eb="25">
      <t>テハイ</t>
    </rPh>
    <phoneticPr fontId="2"/>
  </si>
  <si>
    <t>どちらかを選択</t>
    <rPh sb="5" eb="7">
      <t>センタク</t>
    </rPh>
    <phoneticPr fontId="2"/>
  </si>
  <si>
    <t>4 kg/㎡</t>
    <phoneticPr fontId="2"/>
  </si>
  <si>
    <t>2 kg/㎡</t>
    <phoneticPr fontId="2"/>
  </si>
  <si>
    <t>㎡</t>
    <phoneticPr fontId="2"/>
  </si>
  <si>
    <t>②</t>
    <phoneticPr fontId="2"/>
  </si>
  <si>
    <t>㎡</t>
    <phoneticPr fontId="2"/>
  </si>
  <si>
    <t>2）</t>
    <phoneticPr fontId="2"/>
  </si>
  <si>
    <t>ﾌﾟﾗｲﾏｰ</t>
    <phoneticPr fontId="2"/>
  </si>
  <si>
    <t>ナルファルトプライマー</t>
    <phoneticPr fontId="2"/>
  </si>
  <si>
    <t>0.2kg/㎡</t>
    <phoneticPr fontId="2"/>
  </si>
  <si>
    <t>ナルファルトWP</t>
    <phoneticPr fontId="2"/>
  </si>
  <si>
    <t>1.1㎡／㎡</t>
    <phoneticPr fontId="2"/>
  </si>
  <si>
    <t>1.1ｍ/ｍ</t>
    <phoneticPr fontId="2"/>
  </si>
  <si>
    <t>1）</t>
    <phoneticPr fontId="2"/>
  </si>
  <si>
    <t>①</t>
    <phoneticPr fontId="2"/>
  </si>
  <si>
    <t>㎡</t>
    <phoneticPr fontId="2"/>
  </si>
  <si>
    <t>①’</t>
    <phoneticPr fontId="2"/>
  </si>
  <si>
    <t>㎡</t>
    <phoneticPr fontId="2"/>
  </si>
  <si>
    <t>0.2kg/m</t>
    <phoneticPr fontId="2"/>
  </si>
  <si>
    <t>ﾎﾟﾘｽﾁﾚﾝﾌｫｰﾑ</t>
    <phoneticPr fontId="2"/>
  </si>
  <si>
    <t>t35 910×1820</t>
    <phoneticPr fontId="2"/>
  </si>
  <si>
    <t>トンボ</t>
    <phoneticPr fontId="2"/>
  </si>
  <si>
    <t>ケ</t>
    <phoneticPr fontId="2"/>
  </si>
  <si>
    <r>
      <t>1</t>
    </r>
    <r>
      <rPr>
        <sz val="11"/>
        <rFont val="ＭＳ Ｐゴシック"/>
        <family val="3"/>
        <charset val="128"/>
      </rPr>
      <t>2ケ/㎡</t>
    </r>
    <phoneticPr fontId="2"/>
  </si>
  <si>
    <t>モルタル･シンダーコンクリートで保護される箇所の防水に適用する　　(屋根等）</t>
    <rPh sb="16" eb="18">
      <t>ホゴ</t>
    </rPh>
    <rPh sb="21" eb="23">
      <t>カショ</t>
    </rPh>
    <rPh sb="24" eb="26">
      <t>ボウスイ</t>
    </rPh>
    <rPh sb="27" eb="29">
      <t>テキヨウ</t>
    </rPh>
    <rPh sb="34" eb="36">
      <t>ヤネ</t>
    </rPh>
    <rPh sb="36" eb="37">
      <t>トウ</t>
    </rPh>
    <phoneticPr fontId="2"/>
  </si>
  <si>
    <t>保護断熱2kg</t>
    <rPh sb="0" eb="2">
      <t>ホゴ</t>
    </rPh>
    <rPh sb="2" eb="4">
      <t>ダンネツ</t>
    </rPh>
    <phoneticPr fontId="2"/>
  </si>
  <si>
    <t>保護　　4.2kg</t>
    <rPh sb="0" eb="2">
      <t>ホゴ</t>
    </rPh>
    <phoneticPr fontId="2"/>
  </si>
  <si>
    <t>保護断熱4.2kg</t>
    <rPh sb="0" eb="2">
      <t>ホゴ</t>
    </rPh>
    <rPh sb="2" eb="4">
      <t>ダンネツ</t>
    </rPh>
    <phoneticPr fontId="2"/>
  </si>
  <si>
    <t>地下外壁後付工法　塗布量6.5kg　厚さ約　4mm</t>
    <rPh sb="0" eb="2">
      <t>チカ</t>
    </rPh>
    <rPh sb="2" eb="4">
      <t>ガイヘキ</t>
    </rPh>
    <rPh sb="4" eb="5">
      <t>アト</t>
    </rPh>
    <rPh sb="5" eb="6">
      <t>ツ</t>
    </rPh>
    <rPh sb="6" eb="8">
      <t>コウホウ</t>
    </rPh>
    <rPh sb="9" eb="11">
      <t>トフ</t>
    </rPh>
    <rPh sb="11" eb="12">
      <t>リョウ</t>
    </rPh>
    <rPh sb="18" eb="19">
      <t>アツ</t>
    </rPh>
    <rPh sb="20" eb="21">
      <t>ヤク</t>
    </rPh>
    <phoneticPr fontId="2"/>
  </si>
  <si>
    <t>露出絶縁工法　塗布量4kg　非歩行･軽歩行･遮熱仕様・高耐久</t>
    <rPh sb="0" eb="2">
      <t>ロシュツ</t>
    </rPh>
    <rPh sb="2" eb="4">
      <t>ゼツエン</t>
    </rPh>
    <rPh sb="4" eb="6">
      <t>コウホウ</t>
    </rPh>
    <rPh sb="7" eb="9">
      <t>トフ</t>
    </rPh>
    <rPh sb="9" eb="10">
      <t>リョウ</t>
    </rPh>
    <rPh sb="14" eb="15">
      <t>ヒ</t>
    </rPh>
    <rPh sb="15" eb="17">
      <t>ホコウ</t>
    </rPh>
    <rPh sb="18" eb="19">
      <t>ケイ</t>
    </rPh>
    <rPh sb="19" eb="21">
      <t>ホコウ</t>
    </rPh>
    <rPh sb="22" eb="23">
      <t>シャ</t>
    </rPh>
    <rPh sb="23" eb="24">
      <t>ネツ</t>
    </rPh>
    <rPh sb="24" eb="26">
      <t>シヨウ</t>
    </rPh>
    <rPh sb="27" eb="28">
      <t>コウ</t>
    </rPh>
    <rPh sb="28" eb="30">
      <t>タイキュウ</t>
    </rPh>
    <phoneticPr fontId="2"/>
  </si>
  <si>
    <t>露出密着工法　塗布量4kg　非歩行･軽歩行・遮熱仕様・高耐久</t>
    <rPh sb="0" eb="2">
      <t>ロシュツ</t>
    </rPh>
    <rPh sb="2" eb="4">
      <t>ミッチャク</t>
    </rPh>
    <rPh sb="4" eb="6">
      <t>コウホウ</t>
    </rPh>
    <rPh sb="7" eb="9">
      <t>トフ</t>
    </rPh>
    <rPh sb="9" eb="10">
      <t>リョウ</t>
    </rPh>
    <rPh sb="14" eb="15">
      <t>ヒ</t>
    </rPh>
    <rPh sb="15" eb="17">
      <t>ホコウ</t>
    </rPh>
    <rPh sb="18" eb="19">
      <t>ケイ</t>
    </rPh>
    <rPh sb="19" eb="21">
      <t>ホコウ</t>
    </rPh>
    <rPh sb="22" eb="23">
      <t>シャ</t>
    </rPh>
    <rPh sb="23" eb="24">
      <t>ネツ</t>
    </rPh>
    <rPh sb="24" eb="26">
      <t>シヨウ</t>
    </rPh>
    <rPh sb="27" eb="28">
      <t>コウ</t>
    </rPh>
    <rPh sb="28" eb="30">
      <t>タイキュウ</t>
    </rPh>
    <phoneticPr fontId="2"/>
  </si>
  <si>
    <t>地下外壁外防水　Y-1 同等工法</t>
    <rPh sb="0" eb="2">
      <t>チカ</t>
    </rPh>
    <rPh sb="2" eb="4">
      <t>ガイヘキ</t>
    </rPh>
    <rPh sb="4" eb="5">
      <t>ソト</t>
    </rPh>
    <rPh sb="5" eb="7">
      <t>ボウスイ</t>
    </rPh>
    <rPh sb="12" eb="14">
      <t>ドウトウ</t>
    </rPh>
    <rPh sb="14" eb="16">
      <t>コウホウ</t>
    </rPh>
    <phoneticPr fontId="2"/>
  </si>
  <si>
    <t>地下防水　6.5kg</t>
    <rPh sb="0" eb="2">
      <t>チカ</t>
    </rPh>
    <rPh sb="2" eb="4">
      <t>ボウスイ</t>
    </rPh>
    <phoneticPr fontId="2"/>
  </si>
  <si>
    <t>ナルファルト防水　NWW-Y02-PM　　材料数量計算書</t>
    <rPh sb="6" eb="8">
      <t>ボウスイ</t>
    </rPh>
    <rPh sb="21" eb="23">
      <t>ザイリョウ</t>
    </rPh>
    <rPh sb="23" eb="25">
      <t>スウリョウ</t>
    </rPh>
    <rPh sb="25" eb="28">
      <t>ケイサンショ</t>
    </rPh>
    <phoneticPr fontId="2"/>
  </si>
  <si>
    <r>
      <t>0</t>
    </r>
    <r>
      <rPr>
        <sz val="11"/>
        <rFont val="ＭＳ Ｐゴシック"/>
        <family val="3"/>
        <charset val="128"/>
      </rPr>
      <t>.3kg/㎡</t>
    </r>
    <phoneticPr fontId="2"/>
  </si>
  <si>
    <t>クールトップ＃３００Si</t>
    <phoneticPr fontId="2"/>
  </si>
  <si>
    <t>ナルファルト トップハードP</t>
    <phoneticPr fontId="2"/>
  </si>
  <si>
    <t>ナルファルト防水　NPG-Y02-PM　　材料数量計算書</t>
    <rPh sb="6" eb="8">
      <t>ボウスイ</t>
    </rPh>
    <rPh sb="21" eb="23">
      <t>ザイリョウ</t>
    </rPh>
    <rPh sb="23" eb="25">
      <t>スウリョウ</t>
    </rPh>
    <rPh sb="25" eb="28">
      <t>ケイサンショ</t>
    </rPh>
    <phoneticPr fontId="2"/>
  </si>
  <si>
    <t>保護断熱ナルファルト塗膜シート工法　NWW-Y02-PD　　材料数量計算書</t>
    <rPh sb="0" eb="2">
      <t>ホゴ</t>
    </rPh>
    <rPh sb="2" eb="4">
      <t>ダンネツ</t>
    </rPh>
    <rPh sb="10" eb="12">
      <t>トマク</t>
    </rPh>
    <rPh sb="15" eb="17">
      <t>コウホウ</t>
    </rPh>
    <rPh sb="30" eb="32">
      <t>ザイリョウ</t>
    </rPh>
    <rPh sb="32" eb="34">
      <t>スウリョウ</t>
    </rPh>
    <rPh sb="34" eb="37">
      <t>ケイサンショ</t>
    </rPh>
    <phoneticPr fontId="2"/>
  </si>
  <si>
    <t>保護断熱ナルファルト塗膜シート工法　NPG-Y02-PD 保護断熱　　材料数量計算書</t>
    <rPh sb="0" eb="2">
      <t>ホゴ</t>
    </rPh>
    <rPh sb="2" eb="4">
      <t>ダンネツ</t>
    </rPh>
    <rPh sb="10" eb="12">
      <t>トマク</t>
    </rPh>
    <rPh sb="15" eb="17">
      <t>コウホウ</t>
    </rPh>
    <rPh sb="29" eb="31">
      <t>ホゴ</t>
    </rPh>
    <rPh sb="31" eb="33">
      <t>ダンネツ</t>
    </rPh>
    <rPh sb="35" eb="37">
      <t>ザイリョウ</t>
    </rPh>
    <rPh sb="37" eb="39">
      <t>スウリョウ</t>
    </rPh>
    <rPh sb="39" eb="42">
      <t>ケイサンショ</t>
    </rPh>
    <phoneticPr fontId="2"/>
  </si>
  <si>
    <t>NWW-X02-TP、－TS、－SP、 -SS、ーHP、－HS、ーSH</t>
    <phoneticPr fontId="2"/>
  </si>
  <si>
    <t>NPG-X02-TP, -TS,-SP,-SS,-HP,-HS,-SH　(非歩行･軽歩行・遮熱非歩行･遮熱軽歩行・高耐久）</t>
    <rPh sb="37" eb="38">
      <t>ヒ</t>
    </rPh>
    <rPh sb="38" eb="40">
      <t>ホコウ</t>
    </rPh>
    <rPh sb="41" eb="42">
      <t>ケイ</t>
    </rPh>
    <rPh sb="42" eb="44">
      <t>ホコウ</t>
    </rPh>
    <rPh sb="45" eb="46">
      <t>シャ</t>
    </rPh>
    <rPh sb="46" eb="47">
      <t>ネツ</t>
    </rPh>
    <rPh sb="47" eb="48">
      <t>ヒ</t>
    </rPh>
    <rPh sb="48" eb="50">
      <t>ホコウ</t>
    </rPh>
    <rPh sb="51" eb="52">
      <t>シャ</t>
    </rPh>
    <rPh sb="52" eb="53">
      <t>ネツ</t>
    </rPh>
    <rPh sb="53" eb="54">
      <t>ケイ</t>
    </rPh>
    <rPh sb="54" eb="56">
      <t>ホコウ</t>
    </rPh>
    <rPh sb="57" eb="58">
      <t>コウ</t>
    </rPh>
    <rPh sb="58" eb="60">
      <t>タイキュウ</t>
    </rPh>
    <phoneticPr fontId="2"/>
  </si>
  <si>
    <t>NWW-X01-TP, -TS,-SP,-SS,-HP,-HS,-SH</t>
    <phoneticPr fontId="2"/>
  </si>
  <si>
    <t>NPG-X01-TP,-TS,-SP,--SS,-HP,-HS,-SH</t>
    <phoneticPr fontId="2"/>
  </si>
  <si>
    <t>ナルファルト防水　NWW-Y01-PM　　材料数量計算書</t>
    <rPh sb="6" eb="8">
      <t>ボウスイ</t>
    </rPh>
    <rPh sb="21" eb="23">
      <t>ザイリョウ</t>
    </rPh>
    <rPh sb="23" eb="25">
      <t>スウリョウ</t>
    </rPh>
    <rPh sb="25" eb="28">
      <t>ケイサンショ</t>
    </rPh>
    <phoneticPr fontId="2"/>
  </si>
  <si>
    <t>ナルファルト防水　NPG-Y01-PM　　材料数量計算書</t>
    <rPh sb="6" eb="8">
      <t>ボウスイ</t>
    </rPh>
    <rPh sb="21" eb="23">
      <t>ザイリョウ</t>
    </rPh>
    <rPh sb="23" eb="25">
      <t>スウリョウ</t>
    </rPh>
    <rPh sb="25" eb="28">
      <t>ケイサンショ</t>
    </rPh>
    <phoneticPr fontId="2"/>
  </si>
  <si>
    <t>金属屋根（瓦棒･折板）防水改修工事 (遮熱トップ）  NWW-M01-SP</t>
    <rPh sb="0" eb="2">
      <t>キンゾク</t>
    </rPh>
    <rPh sb="2" eb="4">
      <t>ヤネ</t>
    </rPh>
    <rPh sb="5" eb="6">
      <t>カワラ</t>
    </rPh>
    <rPh sb="6" eb="7">
      <t>ボウ</t>
    </rPh>
    <rPh sb="8" eb="9">
      <t>オリ</t>
    </rPh>
    <rPh sb="9" eb="10">
      <t>イタ</t>
    </rPh>
    <rPh sb="11" eb="13">
      <t>ボウスイ</t>
    </rPh>
    <rPh sb="13" eb="15">
      <t>カイシュウ</t>
    </rPh>
    <rPh sb="15" eb="17">
      <t>コウジ</t>
    </rPh>
    <rPh sb="19" eb="20">
      <t>シャ</t>
    </rPh>
    <rPh sb="20" eb="21">
      <t>ネツ</t>
    </rPh>
    <phoneticPr fontId="2"/>
  </si>
  <si>
    <t>金属屋根（瓦棒･折板）防水改修工事 (珪砂トップ）  NWW-M01-TS</t>
    <rPh sb="0" eb="2">
      <t>キンゾク</t>
    </rPh>
    <rPh sb="2" eb="4">
      <t>ヤネ</t>
    </rPh>
    <rPh sb="5" eb="6">
      <t>カワラ</t>
    </rPh>
    <rPh sb="6" eb="7">
      <t>ボウ</t>
    </rPh>
    <rPh sb="8" eb="9">
      <t>オリ</t>
    </rPh>
    <rPh sb="9" eb="10">
      <t>イタ</t>
    </rPh>
    <rPh sb="11" eb="13">
      <t>ボウスイ</t>
    </rPh>
    <rPh sb="13" eb="15">
      <t>カイシュウ</t>
    </rPh>
    <rPh sb="15" eb="17">
      <t>コウジ</t>
    </rPh>
    <rPh sb="19" eb="20">
      <t>ケイ</t>
    </rPh>
    <rPh sb="20" eb="21">
      <t>スナ</t>
    </rPh>
    <phoneticPr fontId="2"/>
  </si>
  <si>
    <t>金属屋根（瓦棒･折板）防水改修工事 (高耐久遮熱仕様）  NWW-M01-SH</t>
    <rPh sb="0" eb="2">
      <t>キンゾク</t>
    </rPh>
    <rPh sb="2" eb="4">
      <t>ヤネ</t>
    </rPh>
    <rPh sb="5" eb="6">
      <t>カワラ</t>
    </rPh>
    <rPh sb="6" eb="7">
      <t>ボウ</t>
    </rPh>
    <rPh sb="8" eb="9">
      <t>オリ</t>
    </rPh>
    <rPh sb="9" eb="10">
      <t>イタ</t>
    </rPh>
    <rPh sb="11" eb="13">
      <t>ボウスイ</t>
    </rPh>
    <rPh sb="13" eb="15">
      <t>カイシュウ</t>
    </rPh>
    <rPh sb="15" eb="17">
      <t>コウジ</t>
    </rPh>
    <rPh sb="19" eb="20">
      <t>コウ</t>
    </rPh>
    <rPh sb="20" eb="22">
      <t>タイキュウ</t>
    </rPh>
    <rPh sb="22" eb="23">
      <t>シャ</t>
    </rPh>
    <rPh sb="23" eb="24">
      <t>ネツ</t>
    </rPh>
    <rPh sb="24" eb="26">
      <t>シヨウ</t>
    </rPh>
    <phoneticPr fontId="2"/>
  </si>
  <si>
    <t>NWW-K01-TS,-HP,-SP</t>
    <phoneticPr fontId="2"/>
  </si>
  <si>
    <t>NWW-Y02-PM</t>
    <phoneticPr fontId="2"/>
  </si>
  <si>
    <t>NPG-Y02-PM</t>
    <phoneticPr fontId="2"/>
  </si>
  <si>
    <t>NWW-Y02-PD</t>
    <phoneticPr fontId="2"/>
  </si>
  <si>
    <t>NPG-Y02-PD</t>
    <phoneticPr fontId="2"/>
  </si>
  <si>
    <t>NWW-X02-TP,-TS,-SP,-SS,-HP,-HS,-SH</t>
    <phoneticPr fontId="2"/>
  </si>
  <si>
    <t>NPG-X02-TP,-TS,-SP,-SS,-HP,-HS,-SH</t>
    <phoneticPr fontId="2"/>
  </si>
  <si>
    <t>NWW-X01-TP,-TS,-SP,-SS,-HP,-HS,-SH</t>
    <phoneticPr fontId="2"/>
  </si>
  <si>
    <t>NPG-X01-TP,-TS,-SP,-SS,-HP,-HS,-SH</t>
    <phoneticPr fontId="2"/>
  </si>
  <si>
    <t>NWW-Y01-PM</t>
    <phoneticPr fontId="2"/>
  </si>
  <si>
    <t>NPG-Y01-PM</t>
    <phoneticPr fontId="2"/>
  </si>
  <si>
    <t>NWW-M01-SP</t>
    <phoneticPr fontId="2"/>
  </si>
  <si>
    <t>NWW-M01-TS</t>
    <phoneticPr fontId="2"/>
  </si>
  <si>
    <t>NWW-M01-HP</t>
    <phoneticPr fontId="2"/>
  </si>
  <si>
    <t>NWW-M01-SH</t>
    <phoneticPr fontId="2"/>
  </si>
  <si>
    <t>NWW-K01-TP,-SP</t>
    <phoneticPr fontId="2"/>
  </si>
  <si>
    <t>日付</t>
    <rPh sb="0" eb="2">
      <t>ヒヅケ</t>
    </rPh>
    <phoneticPr fontId="2"/>
  </si>
  <si>
    <t>変更内容</t>
    <rPh sb="0" eb="2">
      <t>ヘンコウ</t>
    </rPh>
    <rPh sb="2" eb="4">
      <t>ナイヨウ</t>
    </rPh>
    <phoneticPr fontId="2"/>
  </si>
  <si>
    <t>具体内容</t>
    <rPh sb="0" eb="2">
      <t>グタイ</t>
    </rPh>
    <rPh sb="2" eb="4">
      <t>ナイヨウ</t>
    </rPh>
    <phoneticPr fontId="2"/>
  </si>
  <si>
    <t>担当</t>
    <rPh sb="0" eb="2">
      <t>タントウ</t>
    </rPh>
    <phoneticPr fontId="2"/>
  </si>
  <si>
    <t>高耐久遮熱仕様　塗布量変更</t>
    <rPh sb="0" eb="1">
      <t>コウ</t>
    </rPh>
    <rPh sb="1" eb="3">
      <t>タイキュウ</t>
    </rPh>
    <rPh sb="3" eb="5">
      <t>シャネツ</t>
    </rPh>
    <rPh sb="5" eb="7">
      <t>シヨウ</t>
    </rPh>
    <rPh sb="8" eb="10">
      <t>トフ</t>
    </rPh>
    <rPh sb="10" eb="11">
      <t>リョウ</t>
    </rPh>
    <rPh sb="11" eb="13">
      <t>ヘンコウ</t>
    </rPh>
    <phoneticPr fontId="2"/>
  </si>
  <si>
    <t>クールトップ＃３００Si　0.2kg/㎡→0.3kg/㎡に修正</t>
    <rPh sb="29" eb="31">
      <t>シュウセイ</t>
    </rPh>
    <phoneticPr fontId="2"/>
  </si>
  <si>
    <t>石原</t>
    <rPh sb="0" eb="2">
      <t>イシハラ</t>
    </rPh>
    <phoneticPr fontId="2"/>
  </si>
  <si>
    <t>工法記号新記号に変更</t>
    <rPh sb="0" eb="2">
      <t>コウホウ</t>
    </rPh>
    <rPh sb="2" eb="4">
      <t>キゴウ</t>
    </rPh>
    <rPh sb="4" eb="5">
      <t>シン</t>
    </rPh>
    <rPh sb="5" eb="7">
      <t>キゴウ</t>
    </rPh>
    <rPh sb="8" eb="10">
      <t>ヘンコウ</t>
    </rPh>
    <phoneticPr fontId="2"/>
  </si>
  <si>
    <t>NPG-S30 地下外壁シート　削除</t>
    <rPh sb="8" eb="10">
      <t>チカ</t>
    </rPh>
    <rPh sb="10" eb="12">
      <t>ガイヘキ</t>
    </rPh>
    <rPh sb="16" eb="18">
      <t>サクジョ</t>
    </rPh>
    <phoneticPr fontId="2"/>
  </si>
  <si>
    <t>鋼板屋根旧仕様シート2枚　削除</t>
    <rPh sb="0" eb="2">
      <t>コウハン</t>
    </rPh>
    <rPh sb="2" eb="4">
      <t>ヤネ</t>
    </rPh>
    <rPh sb="4" eb="7">
      <t>キュウシヨウ</t>
    </rPh>
    <rPh sb="11" eb="12">
      <t>マイ</t>
    </rPh>
    <rPh sb="13" eb="15">
      <t>サクジョ</t>
    </rPh>
    <phoneticPr fontId="2"/>
  </si>
  <si>
    <t>金属屋根（瓦棒･折板）防水改修工事 (高耐久トップ）  NWW-M01-HP,HS</t>
    <rPh sb="0" eb="2">
      <t>キンゾク</t>
    </rPh>
    <rPh sb="2" eb="4">
      <t>ヤネ</t>
    </rPh>
    <rPh sb="5" eb="6">
      <t>カワラ</t>
    </rPh>
    <rPh sb="6" eb="7">
      <t>ボウ</t>
    </rPh>
    <rPh sb="8" eb="9">
      <t>オリ</t>
    </rPh>
    <rPh sb="9" eb="10">
      <t>イタ</t>
    </rPh>
    <rPh sb="11" eb="13">
      <t>ボウスイ</t>
    </rPh>
    <rPh sb="13" eb="15">
      <t>カイシュウ</t>
    </rPh>
    <rPh sb="15" eb="17">
      <t>コウジ</t>
    </rPh>
    <rPh sb="19" eb="20">
      <t>コウ</t>
    </rPh>
    <rPh sb="20" eb="22">
      <t>タイキュウ</t>
    </rPh>
    <phoneticPr fontId="2"/>
  </si>
  <si>
    <t>遮熱P　荷姿変更</t>
    <rPh sb="0" eb="2">
      <t>シャネツ</t>
    </rPh>
    <rPh sb="4" eb="6">
      <t>ニスガタ</t>
    </rPh>
    <rPh sb="6" eb="8">
      <t>ヘンコウ</t>
    </rPh>
    <phoneticPr fontId="2"/>
  </si>
  <si>
    <t>①＋②</t>
    <phoneticPr fontId="2"/>
  </si>
  <si>
    <t>202412/23</t>
    <phoneticPr fontId="2"/>
  </si>
  <si>
    <t>増張り用防水材</t>
    <rPh sb="0" eb="1">
      <t>マ</t>
    </rPh>
    <rPh sb="1" eb="2">
      <t>バ</t>
    </rPh>
    <rPh sb="3" eb="4">
      <t>ヨウ</t>
    </rPh>
    <rPh sb="4" eb="6">
      <t>ボウスイ</t>
    </rPh>
    <rPh sb="6" eb="7">
      <t>ザイ</t>
    </rPh>
    <phoneticPr fontId="2"/>
  </si>
  <si>
    <t>露出仕様0.4kg/ｍ→0.2kg/ｍに修正（保護はそのまま0.2kg）</t>
    <rPh sb="0" eb="2">
      <t>ロシュツ</t>
    </rPh>
    <rPh sb="2" eb="4">
      <t>シヨウ</t>
    </rPh>
    <rPh sb="20" eb="22">
      <t>シュウセイ</t>
    </rPh>
    <rPh sb="23" eb="25">
      <t>ホゴ</t>
    </rPh>
    <phoneticPr fontId="2"/>
  </si>
  <si>
    <t>大川</t>
    <rPh sb="0" eb="2">
      <t>オオカワ</t>
    </rPh>
    <phoneticPr fontId="2"/>
  </si>
  <si>
    <t>①＋①’＋②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</si>
</sst>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0_ "/>
    <numFmt numFmtId="178" formatCode="[$-411]ggge&quot;年&quot;m&quot;月&quot;d&quot;日&quot;;@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4"/>
      <color indexed="1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</cellStyleXfs>
  <cellXfs count="21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4" fillId="2" borderId="4" xfId="0" applyNumberFormat="1" applyFont="1" applyFill="1" applyBorder="1" applyAlignment="1">
      <alignment horizontal="center" vertical="center"/>
    </xf>
    <xf numFmtId="2" fontId="4" fillId="3" borderId="4" xfId="0" applyNumberFormat="1" applyFont="1" applyFill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76" fontId="0" fillId="0" borderId="2" xfId="0" applyNumberForma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4" borderId="2" xfId="0" applyNumberFormat="1" applyFill="1" applyBorder="1" applyAlignment="1">
      <alignment vertical="center"/>
    </xf>
    <xf numFmtId="176" fontId="0" fillId="4" borderId="1" xfId="0" applyNumberFormat="1" applyFill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9" xfId="2" applyFont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176" fontId="0" fillId="0" borderId="2" xfId="2" applyNumberFormat="1" applyFont="1" applyBorder="1" applyAlignment="1">
      <alignment horizontal="center" vertical="center"/>
    </xf>
    <xf numFmtId="176" fontId="0" fillId="0" borderId="2" xfId="1" applyNumberFormat="1" applyFont="1" applyBorder="1" applyAlignment="1">
      <alignment horizontal="center" vertical="center"/>
    </xf>
    <xf numFmtId="38" fontId="4" fillId="3" borderId="5" xfId="1" applyFont="1" applyFill="1" applyBorder="1" applyAlignment="1">
      <alignment horizontal="center" vertical="center"/>
    </xf>
    <xf numFmtId="38" fontId="4" fillId="3" borderId="4" xfId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38" fontId="4" fillId="2" borderId="4" xfId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38" fontId="6" fillId="5" borderId="8" xfId="1" applyFont="1" applyFill="1" applyBorder="1" applyAlignment="1">
      <alignment horizontal="right" vertical="center"/>
    </xf>
    <xf numFmtId="38" fontId="6" fillId="5" borderId="1" xfId="1" applyFont="1" applyFill="1" applyBorder="1" applyAlignment="1">
      <alignment vertical="center"/>
    </xf>
    <xf numFmtId="0" fontId="6" fillId="0" borderId="1" xfId="2" applyBorder="1" applyAlignment="1">
      <alignment horizontal="center" vertical="center"/>
    </xf>
    <xf numFmtId="176" fontId="6" fillId="0" borderId="2" xfId="2" applyNumberFormat="1" applyBorder="1" applyAlignment="1">
      <alignment horizontal="center" vertical="center"/>
    </xf>
    <xf numFmtId="0" fontId="6" fillId="0" borderId="9" xfId="2" applyBorder="1" applyAlignment="1">
      <alignment horizontal="center" vertical="center"/>
    </xf>
    <xf numFmtId="176" fontId="6" fillId="0" borderId="2" xfId="1" applyNumberFormat="1" applyFont="1" applyBorder="1" applyAlignment="1">
      <alignment horizontal="center" vertical="center"/>
    </xf>
    <xf numFmtId="38" fontId="0" fillId="0" borderId="1" xfId="0" applyNumberFormat="1" applyBorder="1" applyAlignment="1">
      <alignment vertical="center"/>
    </xf>
    <xf numFmtId="0" fontId="0" fillId="6" borderId="1" xfId="0" applyFill="1" applyBorder="1" applyAlignment="1">
      <alignment horizontal="center" vertical="center"/>
    </xf>
    <xf numFmtId="38" fontId="0" fillId="0" borderId="1" xfId="1" applyFont="1" applyBorder="1" applyAlignment="1">
      <alignment vertical="center"/>
    </xf>
    <xf numFmtId="0" fontId="6" fillId="0" borderId="0" xfId="0" applyFont="1" applyAlignment="1">
      <alignment vertical="center"/>
    </xf>
    <xf numFmtId="38" fontId="6" fillId="0" borderId="1" xfId="1" applyFont="1" applyBorder="1" applyAlignment="1">
      <alignment vertical="center"/>
    </xf>
    <xf numFmtId="38" fontId="6" fillId="0" borderId="9" xfId="1" applyFont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177" fontId="4" fillId="3" borderId="10" xfId="0" applyNumberFormat="1" applyFont="1" applyFill="1" applyBorder="1" applyAlignment="1">
      <alignment horizontal="center" vertical="center"/>
    </xf>
    <xf numFmtId="177" fontId="4" fillId="3" borderId="5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2" fontId="4" fillId="0" borderId="11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38" fontId="0" fillId="0" borderId="7" xfId="0" applyNumberFormat="1" applyBorder="1" applyAlignment="1">
      <alignment vertical="center"/>
    </xf>
    <xf numFmtId="0" fontId="0" fillId="0" borderId="13" xfId="0" applyBorder="1" applyAlignment="1">
      <alignment horizontal="center" vertical="center"/>
    </xf>
    <xf numFmtId="177" fontId="4" fillId="3" borderId="14" xfId="0" applyNumberFormat="1" applyFont="1" applyFill="1" applyBorder="1" applyAlignment="1">
      <alignment horizontal="center" vertical="center"/>
    </xf>
    <xf numFmtId="38" fontId="6" fillId="4" borderId="12" xfId="1" applyFont="1" applyFill="1" applyBorder="1" applyAlignment="1">
      <alignment horizontal="center" vertical="center"/>
    </xf>
    <xf numFmtId="38" fontId="9" fillId="4" borderId="12" xfId="1" applyFont="1" applyFill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38" fontId="9" fillId="4" borderId="4" xfId="1" applyFont="1" applyFill="1" applyBorder="1" applyAlignment="1">
      <alignment horizontal="center" vertical="center"/>
    </xf>
    <xf numFmtId="177" fontId="4" fillId="3" borderId="4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77" fontId="4" fillId="5" borderId="16" xfId="0" applyNumberFormat="1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77" fontId="4" fillId="5" borderId="18" xfId="0" applyNumberFormat="1" applyFont="1" applyFill="1" applyBorder="1" applyAlignment="1">
      <alignment horizontal="center" vertical="center"/>
    </xf>
    <xf numFmtId="38" fontId="6" fillId="0" borderId="18" xfId="1" applyFont="1" applyBorder="1" applyAlignment="1">
      <alignment horizontal="center" vertical="center"/>
    </xf>
    <xf numFmtId="38" fontId="6" fillId="5" borderId="18" xfId="1" applyFont="1" applyFill="1" applyBorder="1" applyAlignment="1">
      <alignment vertical="center"/>
    </xf>
    <xf numFmtId="38" fontId="6" fillId="5" borderId="19" xfId="1" applyFont="1" applyFill="1" applyBorder="1" applyAlignment="1">
      <alignment vertical="center"/>
    </xf>
    <xf numFmtId="0" fontId="0" fillId="0" borderId="20" xfId="0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77" fontId="4" fillId="3" borderId="21" xfId="0" applyNumberFormat="1" applyFont="1" applyFill="1" applyBorder="1" applyAlignment="1">
      <alignment horizontal="center" vertical="center"/>
    </xf>
    <xf numFmtId="38" fontId="6" fillId="0" borderId="21" xfId="1" applyFont="1" applyBorder="1" applyAlignment="1">
      <alignment horizontal="center" vertical="center"/>
    </xf>
    <xf numFmtId="38" fontId="6" fillId="5" borderId="21" xfId="1" applyFont="1" applyFill="1" applyBorder="1" applyAlignment="1">
      <alignment vertical="center"/>
    </xf>
    <xf numFmtId="38" fontId="6" fillId="5" borderId="22" xfId="1" applyFont="1" applyFill="1" applyBorder="1" applyAlignment="1">
      <alignment vertical="center"/>
    </xf>
    <xf numFmtId="0" fontId="6" fillId="0" borderId="0" xfId="4" applyAlignment="1">
      <alignment vertical="center"/>
    </xf>
    <xf numFmtId="0" fontId="6" fillId="0" borderId="0" xfId="4" applyAlignment="1">
      <alignment horizontal="center" vertical="center"/>
    </xf>
    <xf numFmtId="0" fontId="4" fillId="0" borderId="0" xfId="4" applyFont="1" applyAlignment="1">
      <alignment vertical="center"/>
    </xf>
    <xf numFmtId="0" fontId="3" fillId="0" borderId="0" xfId="4" applyFont="1" applyAlignment="1">
      <alignment vertical="center"/>
    </xf>
    <xf numFmtId="0" fontId="3" fillId="0" borderId="0" xfId="4" applyFont="1" applyAlignment="1">
      <alignment horizontal="center" vertical="center"/>
    </xf>
    <xf numFmtId="0" fontId="5" fillId="0" borderId="0" xfId="4" applyFont="1" applyAlignment="1">
      <alignment vertical="center"/>
    </xf>
    <xf numFmtId="0" fontId="6" fillId="0" borderId="3" xfId="4" applyBorder="1" applyAlignment="1">
      <alignment horizontal="center" vertical="center"/>
    </xf>
    <xf numFmtId="0" fontId="6" fillId="0" borderId="1" xfId="4" applyBorder="1" applyAlignment="1">
      <alignment vertical="center"/>
    </xf>
    <xf numFmtId="0" fontId="6" fillId="0" borderId="1" xfId="4" applyBorder="1" applyAlignment="1">
      <alignment horizontal="right" vertical="center"/>
    </xf>
    <xf numFmtId="0" fontId="6" fillId="0" borderId="2" xfId="4" applyBorder="1" applyAlignment="1">
      <alignment horizontal="center" vertical="center"/>
    </xf>
    <xf numFmtId="2" fontId="4" fillId="2" borderId="4" xfId="4" applyNumberFormat="1" applyFont="1" applyFill="1" applyBorder="1" applyAlignment="1">
      <alignment horizontal="right" vertical="center"/>
    </xf>
    <xf numFmtId="2" fontId="4" fillId="3" borderId="4" xfId="4" applyNumberFormat="1" applyFont="1" applyFill="1" applyBorder="1" applyAlignment="1">
      <alignment horizontal="right" vertical="center"/>
    </xf>
    <xf numFmtId="2" fontId="4" fillId="0" borderId="5" xfId="4" applyNumberFormat="1" applyFont="1" applyBorder="1" applyAlignment="1">
      <alignment horizontal="right" vertical="center"/>
    </xf>
    <xf numFmtId="0" fontId="6" fillId="0" borderId="1" xfId="4" applyBorder="1" applyAlignment="1">
      <alignment horizontal="center" vertical="center"/>
    </xf>
    <xf numFmtId="0" fontId="6" fillId="3" borderId="4" xfId="4" applyFill="1" applyBorder="1" applyAlignment="1">
      <alignment horizontal="center" vertical="center"/>
    </xf>
    <xf numFmtId="0" fontId="6" fillId="0" borderId="9" xfId="4" applyBorder="1" applyAlignment="1">
      <alignment horizontal="center" vertical="center"/>
    </xf>
    <xf numFmtId="0" fontId="3" fillId="5" borderId="1" xfId="4" applyFont="1" applyFill="1" applyBorder="1" applyAlignment="1">
      <alignment horizontal="center" vertical="center"/>
    </xf>
    <xf numFmtId="0" fontId="6" fillId="5" borderId="1" xfId="4" applyFill="1" applyBorder="1" applyAlignment="1">
      <alignment horizontal="center" vertical="center"/>
    </xf>
    <xf numFmtId="176" fontId="6" fillId="0" borderId="2" xfId="4" applyNumberFormat="1" applyBorder="1" applyAlignment="1">
      <alignment horizontal="center" vertical="center"/>
    </xf>
    <xf numFmtId="0" fontId="6" fillId="0" borderId="7" xfId="4" applyBorder="1" applyAlignment="1">
      <alignment horizontal="center" vertical="center"/>
    </xf>
    <xf numFmtId="0" fontId="3" fillId="0" borderId="7" xfId="4" applyFont="1" applyBorder="1" applyAlignment="1">
      <alignment horizontal="center" vertical="center"/>
    </xf>
    <xf numFmtId="177" fontId="4" fillId="3" borderId="14" xfId="4" applyNumberFormat="1" applyFont="1" applyFill="1" applyBorder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0" fontId="4" fillId="3" borderId="4" xfId="4" applyFont="1" applyFill="1" applyBorder="1" applyAlignment="1">
      <alignment horizontal="center" vertical="center"/>
    </xf>
    <xf numFmtId="176" fontId="6" fillId="0" borderId="1" xfId="4" applyNumberFormat="1" applyBorder="1" applyAlignment="1">
      <alignment horizontal="center" vertical="center"/>
    </xf>
    <xf numFmtId="176" fontId="6" fillId="4" borderId="2" xfId="4" applyNumberFormat="1" applyFill="1" applyBorder="1" applyAlignment="1">
      <alignment vertical="center"/>
    </xf>
    <xf numFmtId="176" fontId="6" fillId="4" borderId="1" xfId="4" applyNumberFormat="1" applyFill="1" applyBorder="1" applyAlignment="1">
      <alignment vertical="center"/>
    </xf>
    <xf numFmtId="0" fontId="4" fillId="3" borderId="23" xfId="4" applyFont="1" applyFill="1" applyBorder="1" applyAlignment="1">
      <alignment horizontal="center" vertical="center"/>
    </xf>
    <xf numFmtId="0" fontId="4" fillId="3" borderId="5" xfId="4" applyFont="1" applyFill="1" applyBorder="1" applyAlignment="1">
      <alignment horizontal="center" vertical="center"/>
    </xf>
    <xf numFmtId="0" fontId="6" fillId="6" borderId="1" xfId="4" applyFill="1" applyBorder="1" applyAlignment="1">
      <alignment horizontal="center" vertical="center"/>
    </xf>
    <xf numFmtId="0" fontId="4" fillId="3" borderId="14" xfId="4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right" vertical="center"/>
    </xf>
    <xf numFmtId="0" fontId="9" fillId="0" borderId="2" xfId="0" applyFont="1" applyBorder="1" applyAlignment="1">
      <alignment horizontal="center" vertical="center"/>
    </xf>
    <xf numFmtId="2" fontId="11" fillId="2" borderId="4" xfId="0" applyNumberFormat="1" applyFont="1" applyFill="1" applyBorder="1" applyAlignment="1">
      <alignment horizontal="center" vertical="center"/>
    </xf>
    <xf numFmtId="2" fontId="11" fillId="3" borderId="4" xfId="0" applyNumberFormat="1" applyFont="1" applyFill="1" applyBorder="1" applyAlignment="1">
      <alignment horizontal="center" vertical="center"/>
    </xf>
    <xf numFmtId="2" fontId="11" fillId="0" borderId="5" xfId="0" applyNumberFormat="1" applyFont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38" fontId="6" fillId="5" borderId="1" xfId="1" applyFont="1" applyFill="1" applyBorder="1" applyAlignment="1">
      <alignment horizontal="right" vertical="center"/>
    </xf>
    <xf numFmtId="177" fontId="4" fillId="3" borderId="25" xfId="0" applyNumberFormat="1" applyFont="1" applyFill="1" applyBorder="1" applyAlignment="1">
      <alignment horizontal="center" vertical="center"/>
    </xf>
    <xf numFmtId="38" fontId="6" fillId="5" borderId="1" xfId="1" applyFont="1" applyFill="1" applyBorder="1" applyAlignment="1">
      <alignment horizontal="center" vertical="center"/>
    </xf>
    <xf numFmtId="177" fontId="12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38" fontId="13" fillId="5" borderId="4" xfId="1" applyFont="1" applyFill="1" applyBorder="1" applyAlignment="1">
      <alignment horizontal="center" vertical="center"/>
    </xf>
    <xf numFmtId="38" fontId="10" fillId="5" borderId="4" xfId="1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38" fontId="14" fillId="5" borderId="4" xfId="1" applyFont="1" applyFill="1" applyBorder="1" applyAlignment="1">
      <alignment horizontal="center" vertical="center"/>
    </xf>
    <xf numFmtId="177" fontId="4" fillId="3" borderId="26" xfId="0" applyNumberFormat="1" applyFont="1" applyFill="1" applyBorder="1" applyAlignment="1">
      <alignment horizontal="center" vertical="center"/>
    </xf>
    <xf numFmtId="38" fontId="6" fillId="0" borderId="27" xfId="1" applyFont="1" applyBorder="1" applyAlignment="1">
      <alignment horizontal="center" vertical="center"/>
    </xf>
    <xf numFmtId="38" fontId="6" fillId="5" borderId="27" xfId="1" applyFont="1" applyFill="1" applyBorder="1" applyAlignment="1">
      <alignment vertical="center"/>
    </xf>
    <xf numFmtId="38" fontId="6" fillId="5" borderId="28" xfId="1" applyFont="1" applyFill="1" applyBorder="1" applyAlignment="1">
      <alignment vertical="center"/>
    </xf>
    <xf numFmtId="38" fontId="6" fillId="0" borderId="1" xfId="1" applyFont="1" applyBorder="1" applyAlignment="1">
      <alignment horizontal="center" vertical="center"/>
    </xf>
    <xf numFmtId="38" fontId="13" fillId="5" borderId="1" xfId="1" applyFont="1" applyFill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38" fontId="1" fillId="4" borderId="12" xfId="1" applyFill="1" applyBorder="1" applyAlignment="1">
      <alignment horizontal="center" vertical="center"/>
    </xf>
    <xf numFmtId="38" fontId="1" fillId="5" borderId="1" xfId="1" applyFill="1" applyBorder="1" applyAlignment="1">
      <alignment horizontal="center" vertical="center"/>
    </xf>
    <xf numFmtId="38" fontId="1" fillId="5" borderId="1" xfId="1" applyFill="1" applyBorder="1" applyAlignment="1">
      <alignment vertical="center"/>
    </xf>
    <xf numFmtId="38" fontId="1" fillId="0" borderId="1" xfId="1" applyBorder="1" applyAlignment="1">
      <alignment vertical="center"/>
    </xf>
    <xf numFmtId="0" fontId="1" fillId="0" borderId="1" xfId="3" applyBorder="1" applyAlignment="1">
      <alignment horizontal="center" vertical="center"/>
    </xf>
    <xf numFmtId="0" fontId="3" fillId="0" borderId="1" xfId="3" applyFont="1" applyBorder="1" applyAlignment="1">
      <alignment horizontal="center" vertical="center"/>
    </xf>
    <xf numFmtId="176" fontId="1" fillId="0" borderId="2" xfId="3" applyNumberFormat="1" applyBorder="1" applyAlignment="1">
      <alignment horizontal="center" vertical="center"/>
    </xf>
    <xf numFmtId="0" fontId="1" fillId="0" borderId="9" xfId="3" applyBorder="1" applyAlignment="1">
      <alignment horizontal="center" vertical="center"/>
    </xf>
    <xf numFmtId="176" fontId="1" fillId="0" borderId="2" xfId="1" applyNumberFormat="1" applyBorder="1" applyAlignment="1">
      <alignment horizontal="center" vertical="center"/>
    </xf>
    <xf numFmtId="38" fontId="0" fillId="0" borderId="9" xfId="1" applyFon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shrinkToFit="1"/>
    </xf>
    <xf numFmtId="0" fontId="9" fillId="0" borderId="2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38" fontId="6" fillId="5" borderId="12" xfId="1" applyFont="1" applyFill="1" applyBorder="1" applyAlignment="1">
      <alignment horizontal="right" vertical="center"/>
    </xf>
    <xf numFmtId="38" fontId="6" fillId="5" borderId="7" xfId="1" applyFont="1" applyFill="1" applyBorder="1" applyAlignment="1">
      <alignment horizontal="right" vertical="center"/>
    </xf>
    <xf numFmtId="177" fontId="4" fillId="3" borderId="23" xfId="0" applyNumberFormat="1" applyFont="1" applyFill="1" applyBorder="1" applyAlignment="1">
      <alignment horizontal="center" vertical="center"/>
    </xf>
    <xf numFmtId="177" fontId="4" fillId="3" borderId="14" xfId="0" applyNumberFormat="1" applyFont="1" applyFill="1" applyBorder="1" applyAlignment="1">
      <alignment horizontal="center" vertical="center"/>
    </xf>
    <xf numFmtId="38" fontId="6" fillId="5" borderId="1" xfId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77" fontId="4" fillId="3" borderId="4" xfId="0" applyNumberFormat="1" applyFont="1" applyFill="1" applyBorder="1" applyAlignment="1">
      <alignment horizontal="center" vertical="center"/>
    </xf>
    <xf numFmtId="38" fontId="6" fillId="5" borderId="1" xfId="1" applyFont="1" applyFill="1" applyBorder="1" applyAlignment="1">
      <alignment horizontal="right" vertical="center"/>
    </xf>
    <xf numFmtId="38" fontId="4" fillId="3" borderId="4" xfId="1" applyFont="1" applyFill="1" applyBorder="1" applyAlignment="1">
      <alignment horizontal="center" vertical="center"/>
    </xf>
    <xf numFmtId="38" fontId="1" fillId="5" borderId="1" xfId="1" applyFill="1" applyBorder="1" applyAlignment="1">
      <alignment horizontal="right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9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76" fontId="0" fillId="0" borderId="24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7" fontId="0" fillId="0" borderId="24" xfId="0" applyNumberFormat="1" applyBorder="1" applyAlignment="1">
      <alignment horizontal="center" vertical="center"/>
    </xf>
    <xf numFmtId="177" fontId="12" fillId="0" borderId="2" xfId="0" applyNumberFormat="1" applyFont="1" applyBorder="1" applyAlignment="1">
      <alignment horizontal="center" vertical="center"/>
    </xf>
    <xf numFmtId="177" fontId="12" fillId="0" borderId="29" xfId="0" applyNumberFormat="1" applyFont="1" applyBorder="1" applyAlignment="1">
      <alignment horizontal="center" vertical="center"/>
    </xf>
    <xf numFmtId="0" fontId="6" fillId="0" borderId="12" xfId="4" applyBorder="1" applyAlignment="1">
      <alignment horizontal="center" vertical="center"/>
    </xf>
    <xf numFmtId="0" fontId="6" fillId="0" borderId="8" xfId="4" applyBorder="1" applyAlignment="1">
      <alignment horizontal="center" vertical="center"/>
    </xf>
    <xf numFmtId="0" fontId="6" fillId="0" borderId="7" xfId="4" applyBorder="1" applyAlignment="1">
      <alignment horizontal="center" vertical="center"/>
    </xf>
    <xf numFmtId="0" fontId="6" fillId="0" borderId="2" xfId="4" applyBorder="1" applyAlignment="1">
      <alignment horizontal="center" vertical="center"/>
    </xf>
    <xf numFmtId="0" fontId="6" fillId="0" borderId="24" xfId="4" applyBorder="1" applyAlignment="1">
      <alignment horizontal="center" vertical="center"/>
    </xf>
    <xf numFmtId="176" fontId="6" fillId="0" borderId="2" xfId="4" applyNumberFormat="1" applyBorder="1" applyAlignment="1">
      <alignment horizontal="center" vertical="center"/>
    </xf>
    <xf numFmtId="176" fontId="6" fillId="0" borderId="24" xfId="4" applyNumberFormat="1" applyBorder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0" fillId="0" borderId="9" xfId="0" applyBorder="1" applyAlignment="1">
      <alignment horizontal="center" vertical="center"/>
    </xf>
    <xf numFmtId="58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0" xfId="0" applyBorder="1" applyAlignment="1">
      <alignment horizontal="center" vertical="center"/>
    </xf>
  </cellXfs>
  <cellStyles count="5">
    <cellStyle name="桁区切り" xfId="1" builtinId="6"/>
    <cellStyle name="標準" xfId="0" builtinId="0"/>
    <cellStyle name="標準_05ナルファルトWP材料数量計算書" xfId="2" xr:uid="{00000000-0005-0000-0000-000002000000}"/>
    <cellStyle name="標準_05ナルファルトWP材料数量計算書_WP_cal150529改訂" xfId="3" xr:uid="{00000000-0005-0000-0000-000003000000}"/>
    <cellStyle name="標準_WPcal101119改訂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4"/>
  <sheetViews>
    <sheetView workbookViewId="0">
      <selection activeCell="D8" sqref="D8"/>
    </sheetView>
  </sheetViews>
  <sheetFormatPr defaultRowHeight="13.2" x14ac:dyDescent="0.2"/>
  <cols>
    <col min="1" max="1" width="10.44140625" bestFit="1" customWidth="1"/>
    <col min="2" max="2" width="30.33203125" customWidth="1"/>
    <col min="3" max="3" width="46.109375" bestFit="1" customWidth="1"/>
  </cols>
  <sheetData>
    <row r="1" spans="1:4" x14ac:dyDescent="0.2">
      <c r="A1" s="167" t="s">
        <v>360</v>
      </c>
      <c r="B1" s="167" t="s">
        <v>361</v>
      </c>
      <c r="C1" s="167" t="s">
        <v>362</v>
      </c>
      <c r="D1" s="167" t="s">
        <v>363</v>
      </c>
    </row>
    <row r="2" spans="1:4" x14ac:dyDescent="0.2">
      <c r="A2" s="168">
        <v>43159</v>
      </c>
      <c r="B2" s="167" t="s">
        <v>364</v>
      </c>
      <c r="C2" s="167" t="s">
        <v>365</v>
      </c>
      <c r="D2" s="167" t="s">
        <v>366</v>
      </c>
    </row>
    <row r="3" spans="1:4" x14ac:dyDescent="0.2">
      <c r="A3" s="168">
        <v>43159</v>
      </c>
      <c r="B3" s="167" t="s">
        <v>367</v>
      </c>
      <c r="C3" s="167"/>
      <c r="D3" s="167" t="s">
        <v>366</v>
      </c>
    </row>
    <row r="4" spans="1:4" x14ac:dyDescent="0.2">
      <c r="A4" s="168">
        <v>43159</v>
      </c>
      <c r="B4" s="167" t="s">
        <v>368</v>
      </c>
      <c r="C4" s="167"/>
      <c r="D4" s="167" t="s">
        <v>366</v>
      </c>
    </row>
    <row r="5" spans="1:4" x14ac:dyDescent="0.2">
      <c r="A5" s="168">
        <v>43159</v>
      </c>
      <c r="B5" s="167" t="s">
        <v>369</v>
      </c>
      <c r="C5" s="167"/>
      <c r="D5" s="167" t="s">
        <v>366</v>
      </c>
    </row>
    <row r="6" spans="1:4" x14ac:dyDescent="0.2">
      <c r="A6" s="168">
        <v>43864</v>
      </c>
      <c r="B6" s="167" t="s">
        <v>371</v>
      </c>
      <c r="C6" s="167"/>
      <c r="D6" s="167" t="s">
        <v>366</v>
      </c>
    </row>
    <row r="7" spans="1:4" x14ac:dyDescent="0.2">
      <c r="A7" s="167" t="s">
        <v>373</v>
      </c>
      <c r="B7" s="167" t="s">
        <v>374</v>
      </c>
      <c r="C7" s="169" t="s">
        <v>375</v>
      </c>
      <c r="D7" s="167" t="s">
        <v>376</v>
      </c>
    </row>
    <row r="8" spans="1:4" x14ac:dyDescent="0.2">
      <c r="A8" s="167"/>
      <c r="B8" s="167"/>
      <c r="C8" s="167"/>
      <c r="D8" s="167"/>
    </row>
    <row r="9" spans="1:4" x14ac:dyDescent="0.2">
      <c r="A9" s="167"/>
      <c r="B9" s="167"/>
      <c r="C9" s="167"/>
      <c r="D9" s="167"/>
    </row>
    <row r="10" spans="1:4" x14ac:dyDescent="0.2">
      <c r="A10" s="167"/>
      <c r="B10" s="167"/>
      <c r="C10" s="167"/>
      <c r="D10" s="167"/>
    </row>
    <row r="11" spans="1:4" x14ac:dyDescent="0.2">
      <c r="A11" s="167"/>
      <c r="B11" s="167"/>
      <c r="C11" s="167"/>
      <c r="D11" s="167"/>
    </row>
    <row r="12" spans="1:4" x14ac:dyDescent="0.2">
      <c r="A12" s="167"/>
      <c r="B12" s="167"/>
      <c r="C12" s="167"/>
      <c r="D12" s="167"/>
    </row>
    <row r="13" spans="1:4" x14ac:dyDescent="0.2">
      <c r="A13" s="167"/>
      <c r="B13" s="167"/>
      <c r="C13" s="167"/>
      <c r="D13" s="167"/>
    </row>
    <row r="14" spans="1:4" x14ac:dyDescent="0.2">
      <c r="A14" s="167"/>
      <c r="B14" s="167"/>
      <c r="C14" s="167"/>
      <c r="D14" s="167"/>
    </row>
  </sheetData>
  <phoneticPr fontId="2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4:M31"/>
  <sheetViews>
    <sheetView topLeftCell="A16" workbookViewId="0">
      <selection activeCell="G28" sqref="G28"/>
    </sheetView>
  </sheetViews>
  <sheetFormatPr defaultColWidth="9" defaultRowHeight="13.2" x14ac:dyDescent="0.2"/>
  <cols>
    <col min="1" max="1" width="2.6640625" style="1" customWidth="1"/>
    <col min="2" max="2" width="15.88671875" style="1" customWidth="1"/>
    <col min="3" max="3" width="17.88671875" style="1" customWidth="1"/>
    <col min="4" max="4" width="29.88671875" style="1" customWidth="1"/>
    <col min="5" max="5" width="24.109375" style="2" customWidth="1"/>
    <col min="6" max="6" width="4.77734375" style="1" customWidth="1"/>
    <col min="7" max="7" width="12.77734375" style="1" customWidth="1"/>
    <col min="8" max="8" width="14.77734375" style="1" customWidth="1"/>
    <col min="9" max="9" width="11.33203125" style="1" customWidth="1"/>
    <col min="10" max="10" width="12.109375" style="1" customWidth="1"/>
    <col min="11" max="11" width="11.88671875" style="1" customWidth="1"/>
    <col min="12" max="12" width="12.88671875" style="1" customWidth="1"/>
    <col min="13" max="13" width="15" style="1" customWidth="1"/>
    <col min="14" max="16384" width="9" style="1"/>
  </cols>
  <sheetData>
    <row r="4" spans="1:13" ht="18" customHeight="1" x14ac:dyDescent="0.2">
      <c r="B4" s="13" t="s">
        <v>207</v>
      </c>
      <c r="C4" s="14"/>
      <c r="D4" s="14"/>
      <c r="E4" s="15"/>
      <c r="F4" s="14"/>
    </row>
    <row r="5" spans="1:13" ht="18" customHeight="1" thickBot="1" x14ac:dyDescent="0.25">
      <c r="B5" s="47"/>
      <c r="C5" s="14" t="s">
        <v>338</v>
      </c>
      <c r="D5" s="47"/>
    </row>
    <row r="6" spans="1:13" ht="17.25" customHeight="1" x14ac:dyDescent="0.2">
      <c r="A6" s="1" t="s">
        <v>83</v>
      </c>
      <c r="B6" s="1" t="s">
        <v>0</v>
      </c>
      <c r="C6" s="16" t="s">
        <v>59</v>
      </c>
      <c r="F6" s="7" t="s">
        <v>34</v>
      </c>
    </row>
    <row r="7" spans="1:13" ht="21" customHeight="1" x14ac:dyDescent="0.2">
      <c r="D7" s="3" t="s">
        <v>1</v>
      </c>
      <c r="E7" s="4" t="s">
        <v>51</v>
      </c>
      <c r="F7" s="6" t="s">
        <v>52</v>
      </c>
      <c r="G7" s="9">
        <v>300</v>
      </c>
    </row>
    <row r="8" spans="1:13" ht="21" customHeight="1" x14ac:dyDescent="0.2">
      <c r="D8" s="3" t="s">
        <v>2</v>
      </c>
      <c r="E8" s="4" t="s">
        <v>53</v>
      </c>
      <c r="F8" s="6" t="s">
        <v>52</v>
      </c>
      <c r="G8" s="9">
        <v>100</v>
      </c>
    </row>
    <row r="9" spans="1:13" ht="21" customHeight="1" x14ac:dyDescent="0.2">
      <c r="D9" s="3" t="s">
        <v>14</v>
      </c>
      <c r="E9" s="4"/>
      <c r="F9" s="6" t="s">
        <v>16</v>
      </c>
      <c r="G9" s="10">
        <v>0.5</v>
      </c>
    </row>
    <row r="10" spans="1:13" ht="21" customHeight="1" x14ac:dyDescent="0.2">
      <c r="D10" s="3" t="s">
        <v>15</v>
      </c>
      <c r="E10" s="4"/>
      <c r="F10" s="6" t="s">
        <v>16</v>
      </c>
      <c r="G10" s="10">
        <f>G8/G9</f>
        <v>200</v>
      </c>
    </row>
    <row r="11" spans="1:13" ht="21" customHeight="1" x14ac:dyDescent="0.2">
      <c r="D11" s="3" t="s">
        <v>3</v>
      </c>
      <c r="E11" s="4" t="s">
        <v>84</v>
      </c>
      <c r="F11" s="6" t="s">
        <v>85</v>
      </c>
      <c r="G11" s="9"/>
    </row>
    <row r="12" spans="1:13" ht="21" customHeight="1" thickBot="1" x14ac:dyDescent="0.25">
      <c r="D12" s="3" t="s">
        <v>28</v>
      </c>
      <c r="E12" s="4" t="s">
        <v>54</v>
      </c>
      <c r="F12" s="6" t="s">
        <v>55</v>
      </c>
      <c r="G12" s="11">
        <f>G7+G8+G11</f>
        <v>400</v>
      </c>
    </row>
    <row r="13" spans="1:13" ht="13.8" thickBot="1" x14ac:dyDescent="0.25"/>
    <row r="14" spans="1:13" ht="16.5" customHeight="1" x14ac:dyDescent="0.2">
      <c r="A14" s="1" t="s">
        <v>56</v>
      </c>
      <c r="B14" s="1" t="s">
        <v>31</v>
      </c>
      <c r="C14" s="16" t="s">
        <v>36</v>
      </c>
      <c r="E14" s="1"/>
      <c r="F14" s="2"/>
      <c r="G14" s="5" t="s">
        <v>177</v>
      </c>
      <c r="H14" s="6" t="s">
        <v>176</v>
      </c>
      <c r="I14" s="7" t="s">
        <v>35</v>
      </c>
    </row>
    <row r="15" spans="1:13" ht="21" customHeight="1" x14ac:dyDescent="0.2">
      <c r="B15" s="5" t="s">
        <v>12</v>
      </c>
      <c r="C15" s="5" t="s">
        <v>201</v>
      </c>
      <c r="D15" s="5" t="s">
        <v>7</v>
      </c>
      <c r="E15" s="5" t="s">
        <v>20</v>
      </c>
      <c r="F15" s="6"/>
      <c r="G15" s="193"/>
      <c r="H15" s="194"/>
      <c r="I15" s="29" t="s">
        <v>48</v>
      </c>
      <c r="J15" s="26" t="s">
        <v>41</v>
      </c>
      <c r="K15" s="36" t="s">
        <v>127</v>
      </c>
      <c r="L15" s="37" t="s">
        <v>101</v>
      </c>
      <c r="M15" s="5" t="s">
        <v>211</v>
      </c>
    </row>
    <row r="16" spans="1:13" ht="18" customHeight="1" x14ac:dyDescent="0.2">
      <c r="B16" s="173" t="s">
        <v>60</v>
      </c>
      <c r="C16" s="55"/>
      <c r="D16" s="176" t="s">
        <v>174</v>
      </c>
      <c r="E16" s="55" t="s">
        <v>175</v>
      </c>
      <c r="F16" s="6" t="s">
        <v>8</v>
      </c>
      <c r="G16" s="196">
        <f>ROUNDUP(G12/10,0)</f>
        <v>40</v>
      </c>
      <c r="H16" s="197"/>
      <c r="I16" s="63" t="s">
        <v>179</v>
      </c>
      <c r="J16" s="26" t="s">
        <v>61</v>
      </c>
      <c r="K16" s="60"/>
      <c r="L16" s="61" t="s">
        <v>180</v>
      </c>
      <c r="M16" s="173" t="s">
        <v>290</v>
      </c>
    </row>
    <row r="17" spans="2:13" ht="18" customHeight="1" x14ac:dyDescent="0.2">
      <c r="B17" s="174"/>
      <c r="C17" s="55"/>
      <c r="D17" s="177"/>
      <c r="E17" s="147" t="s">
        <v>292</v>
      </c>
      <c r="F17" s="143" t="s">
        <v>288</v>
      </c>
      <c r="G17" s="198">
        <f>ROUNDUP(G12*0.2/10,0)</f>
        <v>8</v>
      </c>
      <c r="H17" s="199"/>
      <c r="I17" s="148">
        <f>G17</f>
        <v>8</v>
      </c>
      <c r="J17" s="26" t="s">
        <v>61</v>
      </c>
      <c r="K17" s="141"/>
      <c r="L17" s="39">
        <f>I17*K17</f>
        <v>0</v>
      </c>
      <c r="M17" s="174"/>
    </row>
    <row r="18" spans="2:13" ht="18" customHeight="1" x14ac:dyDescent="0.2">
      <c r="B18" s="68" t="s">
        <v>9</v>
      </c>
      <c r="C18" s="5"/>
      <c r="D18" s="176" t="s">
        <v>24</v>
      </c>
      <c r="E18" s="175" t="s">
        <v>168</v>
      </c>
      <c r="F18" s="6" t="s">
        <v>8</v>
      </c>
      <c r="G18" s="191">
        <f>G12*4/18</f>
        <v>88.888888888888886</v>
      </c>
      <c r="H18" s="195"/>
      <c r="I18" s="184">
        <f>ROUNDUP(G18+G19,0)</f>
        <v>92</v>
      </c>
      <c r="J18" s="69" t="s">
        <v>296</v>
      </c>
      <c r="K18" s="178"/>
      <c r="L18" s="178">
        <f>I18*K18</f>
        <v>0</v>
      </c>
      <c r="M18" s="175" t="s">
        <v>290</v>
      </c>
    </row>
    <row r="19" spans="2:13" ht="18" customHeight="1" x14ac:dyDescent="0.2">
      <c r="B19" s="68" t="s">
        <v>23</v>
      </c>
      <c r="C19" s="5"/>
      <c r="D19" s="183"/>
      <c r="E19" s="175"/>
      <c r="F19" s="6" t="s">
        <v>8</v>
      </c>
      <c r="G19" s="191">
        <f>G10*0.2*1/18</f>
        <v>2.2222222222222223</v>
      </c>
      <c r="H19" s="195"/>
      <c r="I19" s="184"/>
      <c r="J19" s="26" t="s">
        <v>73</v>
      </c>
      <c r="K19" s="179"/>
      <c r="L19" s="179"/>
      <c r="M19" s="175"/>
    </row>
    <row r="20" spans="2:13" ht="18" customHeight="1" x14ac:dyDescent="0.2">
      <c r="B20" s="188" t="s">
        <v>287</v>
      </c>
      <c r="C20" s="189"/>
      <c r="D20" s="177"/>
      <c r="E20" s="144" t="s">
        <v>286</v>
      </c>
      <c r="F20" s="6" t="s">
        <v>288</v>
      </c>
      <c r="G20" s="191">
        <f>(G18+G19)/23*18</f>
        <v>71.304347826086968</v>
      </c>
      <c r="H20" s="192"/>
      <c r="I20" s="145">
        <f>ROUNDUP(G20,0)</f>
        <v>72</v>
      </c>
      <c r="J20" s="26"/>
      <c r="K20" s="141"/>
      <c r="L20" s="39">
        <f>I20*K20</f>
        <v>0</v>
      </c>
      <c r="M20" s="175"/>
    </row>
    <row r="21" spans="2:13" ht="18" customHeight="1" x14ac:dyDescent="0.2">
      <c r="B21" s="68" t="s">
        <v>91</v>
      </c>
      <c r="C21" s="67"/>
      <c r="D21" s="18" t="s">
        <v>95</v>
      </c>
      <c r="E21" s="5" t="s">
        <v>171</v>
      </c>
      <c r="F21" s="6" t="s">
        <v>8</v>
      </c>
      <c r="G21" s="191">
        <f>(G11+G7)*0.8/15</f>
        <v>16</v>
      </c>
      <c r="H21" s="195"/>
      <c r="I21" s="59">
        <f>ROUNDUP(G21,0)</f>
        <v>16</v>
      </c>
      <c r="J21" s="26" t="s">
        <v>96</v>
      </c>
      <c r="K21" s="39"/>
      <c r="L21" s="39">
        <f t="shared" ref="L21:L29" si="0">I21*K21</f>
        <v>0</v>
      </c>
      <c r="M21" s="5" t="s">
        <v>212</v>
      </c>
    </row>
    <row r="22" spans="2:13" ht="18" customHeight="1" x14ac:dyDescent="0.2">
      <c r="B22" s="68" t="s">
        <v>10</v>
      </c>
      <c r="C22" s="5"/>
      <c r="D22" s="8" t="s">
        <v>33</v>
      </c>
      <c r="E22" s="5" t="s">
        <v>17</v>
      </c>
      <c r="F22" s="6" t="s">
        <v>13</v>
      </c>
      <c r="G22" s="191">
        <f>G12*1.1/100</f>
        <v>4.4000000000000004</v>
      </c>
      <c r="H22" s="195"/>
      <c r="I22" s="65">
        <f>ROUNDUP(G22,0)</f>
        <v>5</v>
      </c>
      <c r="J22" s="26" t="s">
        <v>57</v>
      </c>
      <c r="K22" s="39"/>
      <c r="L22" s="39">
        <f t="shared" si="0"/>
        <v>0</v>
      </c>
      <c r="M22" s="3"/>
    </row>
    <row r="23" spans="2:13" ht="18" customHeight="1" x14ac:dyDescent="0.2">
      <c r="B23" s="68" t="s">
        <v>11</v>
      </c>
      <c r="C23" s="5"/>
      <c r="D23" s="8" t="s">
        <v>32</v>
      </c>
      <c r="E23" s="5" t="s">
        <v>17</v>
      </c>
      <c r="F23" s="6" t="s">
        <v>13</v>
      </c>
      <c r="G23" s="193">
        <f>G10*1.1/100</f>
        <v>2.2000000000000002</v>
      </c>
      <c r="H23" s="194"/>
      <c r="I23" s="65">
        <f>ROUNDUP(G23,0)</f>
        <v>3</v>
      </c>
      <c r="J23" s="26" t="s">
        <v>58</v>
      </c>
      <c r="K23" s="39"/>
      <c r="L23" s="39">
        <f t="shared" si="0"/>
        <v>0</v>
      </c>
      <c r="M23" s="3"/>
    </row>
    <row r="24" spans="2:13" ht="18" customHeight="1" x14ac:dyDescent="0.2">
      <c r="B24" s="175" t="s">
        <v>200</v>
      </c>
      <c r="C24" s="5" t="s">
        <v>202</v>
      </c>
      <c r="D24" s="8" t="s">
        <v>205</v>
      </c>
      <c r="E24" s="5" t="s">
        <v>18</v>
      </c>
      <c r="F24" s="6" t="s">
        <v>8</v>
      </c>
      <c r="G24" s="19">
        <f>G12*1/20</f>
        <v>20</v>
      </c>
      <c r="H24" s="20"/>
      <c r="I24" s="65">
        <f>ROUNDUP(G24,0)</f>
        <v>20</v>
      </c>
      <c r="J24" s="26" t="s">
        <v>88</v>
      </c>
      <c r="K24" s="39"/>
      <c r="L24" s="39">
        <f t="shared" si="0"/>
        <v>0</v>
      </c>
      <c r="M24" s="173" t="s">
        <v>172</v>
      </c>
    </row>
    <row r="25" spans="2:13" ht="18" customHeight="1" thickBot="1" x14ac:dyDescent="0.25">
      <c r="B25" s="175"/>
      <c r="C25" s="5" t="s">
        <v>203</v>
      </c>
      <c r="D25" s="8" t="s">
        <v>206</v>
      </c>
      <c r="E25" s="5" t="s">
        <v>19</v>
      </c>
      <c r="F25" s="6" t="s">
        <v>8</v>
      </c>
      <c r="G25" s="21"/>
      <c r="H25" s="17">
        <f>G12*0.3/15</f>
        <v>8</v>
      </c>
      <c r="I25" s="66">
        <f>ROUNDUP(H25,0)</f>
        <v>8</v>
      </c>
      <c r="J25" s="26" t="s">
        <v>90</v>
      </c>
      <c r="K25" s="39"/>
      <c r="L25" s="39">
        <f t="shared" si="0"/>
        <v>0</v>
      </c>
      <c r="M25" s="190"/>
    </row>
    <row r="26" spans="2:13" ht="18" customHeight="1" thickBot="1" x14ac:dyDescent="0.25">
      <c r="B26" s="175"/>
      <c r="C26" s="5" t="s">
        <v>270</v>
      </c>
      <c r="D26" s="8" t="s">
        <v>271</v>
      </c>
      <c r="E26" s="5" t="s">
        <v>18</v>
      </c>
      <c r="F26" s="6" t="s">
        <v>8</v>
      </c>
      <c r="G26" s="191">
        <f>G12*0.5/20</f>
        <v>10</v>
      </c>
      <c r="H26" s="192"/>
      <c r="I26" s="52">
        <f>ROUNDUP(G26,0)</f>
        <v>10</v>
      </c>
      <c r="J26" s="26" t="s">
        <v>184</v>
      </c>
      <c r="K26" s="39"/>
      <c r="L26" s="39"/>
      <c r="M26" s="190"/>
    </row>
    <row r="27" spans="2:13" ht="18" customHeight="1" thickBot="1" x14ac:dyDescent="0.25">
      <c r="B27" s="175"/>
      <c r="C27" s="5" t="s">
        <v>272</v>
      </c>
      <c r="D27" s="8" t="s">
        <v>273</v>
      </c>
      <c r="E27" s="5" t="s">
        <v>18</v>
      </c>
      <c r="F27" s="6" t="s">
        <v>8</v>
      </c>
      <c r="G27" s="191">
        <f>G12*0.8/20</f>
        <v>16</v>
      </c>
      <c r="H27" s="192"/>
      <c r="I27" s="52">
        <f>ROUNDUP(G27,0)</f>
        <v>16</v>
      </c>
      <c r="J27" s="26" t="s">
        <v>274</v>
      </c>
      <c r="K27" s="39"/>
      <c r="L27" s="39"/>
      <c r="M27" s="190"/>
    </row>
    <row r="28" spans="2:13" ht="18" customHeight="1" x14ac:dyDescent="0.2">
      <c r="B28" s="175"/>
      <c r="C28" s="5" t="s">
        <v>156</v>
      </c>
      <c r="D28" s="8" t="s">
        <v>170</v>
      </c>
      <c r="E28" s="5" t="s">
        <v>18</v>
      </c>
      <c r="F28" s="6" t="s">
        <v>8</v>
      </c>
      <c r="G28" s="19">
        <f>G12*1/20</f>
        <v>20</v>
      </c>
      <c r="H28" s="20"/>
      <c r="I28" s="65">
        <f>ROUNDUP(G28,0)</f>
        <v>20</v>
      </c>
      <c r="J28" s="26" t="s">
        <v>88</v>
      </c>
      <c r="K28" s="39"/>
      <c r="L28" s="39">
        <f t="shared" si="0"/>
        <v>0</v>
      </c>
      <c r="M28" s="190"/>
    </row>
    <row r="29" spans="2:13" ht="18" customHeight="1" thickBot="1" x14ac:dyDescent="0.25">
      <c r="B29" s="175"/>
      <c r="C29" s="5" t="s">
        <v>157</v>
      </c>
      <c r="D29" s="8" t="s">
        <v>173</v>
      </c>
      <c r="E29" s="5" t="s">
        <v>19</v>
      </c>
      <c r="F29" s="6" t="s">
        <v>8</v>
      </c>
      <c r="G29" s="21"/>
      <c r="H29" s="17">
        <f>G12*0.5/15</f>
        <v>13.333333333333334</v>
      </c>
      <c r="I29" s="66">
        <f>ROUNDUP(H29,0)</f>
        <v>14</v>
      </c>
      <c r="J29" s="26" t="s">
        <v>199</v>
      </c>
      <c r="K29" s="39"/>
      <c r="L29" s="39">
        <f t="shared" si="0"/>
        <v>0</v>
      </c>
      <c r="M29" s="174"/>
    </row>
    <row r="30" spans="2:13" ht="17.25" customHeight="1" x14ac:dyDescent="0.2">
      <c r="B30" s="1" t="s">
        <v>204</v>
      </c>
      <c r="K30" s="45" t="s">
        <v>128</v>
      </c>
      <c r="L30" s="48">
        <f>SUM(L16:L29)</f>
        <v>0</v>
      </c>
    </row>
    <row r="31" spans="2:13" ht="17.25" customHeight="1" x14ac:dyDescent="0.2">
      <c r="C31" s="1" t="s">
        <v>47</v>
      </c>
      <c r="K31" s="45" t="s">
        <v>129</v>
      </c>
      <c r="L31" s="48">
        <f>L30/G12</f>
        <v>0</v>
      </c>
      <c r="M31" s="1" t="s">
        <v>182</v>
      </c>
    </row>
  </sheetData>
  <mergeCells count="23">
    <mergeCell ref="G15:H15"/>
    <mergeCell ref="G18:H18"/>
    <mergeCell ref="G16:H16"/>
    <mergeCell ref="K18:K19"/>
    <mergeCell ref="G19:H19"/>
    <mergeCell ref="B16:B17"/>
    <mergeCell ref="D16:D17"/>
    <mergeCell ref="M16:M17"/>
    <mergeCell ref="G17:H17"/>
    <mergeCell ref="M18:M20"/>
    <mergeCell ref="G20:H20"/>
    <mergeCell ref="M24:M29"/>
    <mergeCell ref="L18:L19"/>
    <mergeCell ref="G27:H27"/>
    <mergeCell ref="B24:B29"/>
    <mergeCell ref="E18:E19"/>
    <mergeCell ref="I18:I19"/>
    <mergeCell ref="G26:H26"/>
    <mergeCell ref="G23:H23"/>
    <mergeCell ref="G21:H21"/>
    <mergeCell ref="G22:H22"/>
    <mergeCell ref="D18:D20"/>
    <mergeCell ref="B20:C20"/>
  </mergeCells>
  <phoneticPr fontId="2"/>
  <pageMargins left="0.75" right="0.75" top="1" bottom="1" header="0.51200000000000001" footer="0.51200000000000001"/>
  <pageSetup paperSize="9" orientation="landscape" horizontalDpi="4294967293" verticalDpi="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M31"/>
  <sheetViews>
    <sheetView topLeftCell="A13" workbookViewId="0">
      <selection activeCell="G20" sqref="G20:H20"/>
    </sheetView>
  </sheetViews>
  <sheetFormatPr defaultColWidth="9" defaultRowHeight="13.2" x14ac:dyDescent="0.2"/>
  <cols>
    <col min="1" max="1" width="3.6640625" style="88" customWidth="1"/>
    <col min="2" max="2" width="13.109375" style="88" customWidth="1"/>
    <col min="3" max="3" width="20" style="88" customWidth="1"/>
    <col min="4" max="4" width="27.109375" style="88" customWidth="1"/>
    <col min="5" max="5" width="16.44140625" style="89" bestFit="1" customWidth="1"/>
    <col min="6" max="6" width="3.77734375" style="88" bestFit="1" customWidth="1"/>
    <col min="7" max="8" width="12.77734375" style="88" customWidth="1"/>
    <col min="9" max="9" width="11.33203125" style="88" customWidth="1"/>
    <col min="10" max="10" width="12.109375" style="88" customWidth="1"/>
    <col min="11" max="11" width="13" style="88" customWidth="1"/>
    <col min="12" max="12" width="13.33203125" style="88" customWidth="1"/>
    <col min="13" max="13" width="15" style="88" customWidth="1"/>
    <col min="14" max="16384" width="9" style="88"/>
  </cols>
  <sheetData>
    <row r="2" spans="1:13" x14ac:dyDescent="0.2">
      <c r="B2" s="88" t="s">
        <v>235</v>
      </c>
    </row>
    <row r="4" spans="1:13" ht="18" customHeight="1" x14ac:dyDescent="0.2">
      <c r="B4" s="90" t="s">
        <v>209</v>
      </c>
      <c r="C4" s="91"/>
      <c r="D4" s="91"/>
      <c r="E4" s="92"/>
      <c r="G4" s="91"/>
    </row>
    <row r="5" spans="1:13" ht="18" customHeight="1" thickBot="1" x14ac:dyDescent="0.25">
      <c r="C5" s="14" t="s">
        <v>336</v>
      </c>
    </row>
    <row r="6" spans="1:13" ht="17.25" customHeight="1" x14ac:dyDescent="0.2">
      <c r="A6" s="88" t="s">
        <v>236</v>
      </c>
      <c r="B6" s="88" t="s">
        <v>0</v>
      </c>
      <c r="D6" s="93" t="s">
        <v>59</v>
      </c>
      <c r="E6" s="88"/>
      <c r="F6" s="89"/>
      <c r="G6" s="94" t="s">
        <v>34</v>
      </c>
    </row>
    <row r="7" spans="1:13" ht="21" customHeight="1" x14ac:dyDescent="0.2">
      <c r="D7" s="95" t="s">
        <v>1</v>
      </c>
      <c r="E7" s="96" t="s">
        <v>51</v>
      </c>
      <c r="F7" s="97" t="s">
        <v>52</v>
      </c>
      <c r="G7" s="98">
        <v>300</v>
      </c>
    </row>
    <row r="8" spans="1:13" ht="21" customHeight="1" x14ac:dyDescent="0.2">
      <c r="D8" s="95" t="s">
        <v>2</v>
      </c>
      <c r="E8" s="96" t="s">
        <v>53</v>
      </c>
      <c r="F8" s="97" t="s">
        <v>52</v>
      </c>
      <c r="G8" s="98">
        <v>100</v>
      </c>
    </row>
    <row r="9" spans="1:13" ht="21" customHeight="1" x14ac:dyDescent="0.2">
      <c r="D9" s="95" t="s">
        <v>14</v>
      </c>
      <c r="E9" s="96"/>
      <c r="F9" s="97" t="s">
        <v>16</v>
      </c>
      <c r="G9" s="99">
        <v>0.5</v>
      </c>
    </row>
    <row r="10" spans="1:13" ht="21" customHeight="1" x14ac:dyDescent="0.2">
      <c r="D10" s="95" t="s">
        <v>15</v>
      </c>
      <c r="E10" s="96"/>
      <c r="F10" s="97" t="s">
        <v>16</v>
      </c>
      <c r="G10" s="99">
        <f>G8/G9</f>
        <v>200</v>
      </c>
    </row>
    <row r="11" spans="1:13" ht="21" customHeight="1" x14ac:dyDescent="0.2">
      <c r="D11" s="95" t="s">
        <v>3</v>
      </c>
      <c r="E11" s="96" t="s">
        <v>84</v>
      </c>
      <c r="F11" s="97" t="s">
        <v>85</v>
      </c>
      <c r="G11" s="98"/>
    </row>
    <row r="12" spans="1:13" ht="21" customHeight="1" thickBot="1" x14ac:dyDescent="0.25">
      <c r="D12" s="95" t="s">
        <v>28</v>
      </c>
      <c r="E12" s="96" t="s">
        <v>54</v>
      </c>
      <c r="F12" s="97" t="s">
        <v>55</v>
      </c>
      <c r="G12" s="100">
        <f>G7+G8+G11</f>
        <v>400</v>
      </c>
    </row>
    <row r="13" spans="1:13" ht="13.8" thickBot="1" x14ac:dyDescent="0.25">
      <c r="E13" s="88"/>
      <c r="F13" s="89"/>
    </row>
    <row r="14" spans="1:13" ht="24" customHeight="1" x14ac:dyDescent="0.2">
      <c r="A14" s="88" t="s">
        <v>56</v>
      </c>
      <c r="B14" s="88" t="s">
        <v>31</v>
      </c>
      <c r="D14" s="93" t="s">
        <v>36</v>
      </c>
      <c r="E14" s="88"/>
      <c r="F14" s="89"/>
      <c r="G14" s="101" t="s">
        <v>177</v>
      </c>
      <c r="H14" s="97" t="s">
        <v>176</v>
      </c>
      <c r="I14" s="94" t="s">
        <v>35</v>
      </c>
    </row>
    <row r="15" spans="1:13" ht="21" customHeight="1" x14ac:dyDescent="0.2">
      <c r="B15" s="101" t="s">
        <v>12</v>
      </c>
      <c r="C15" s="101"/>
      <c r="D15" s="101" t="s">
        <v>7</v>
      </c>
      <c r="E15" s="101" t="s">
        <v>20</v>
      </c>
      <c r="F15" s="97"/>
      <c r="G15" s="203"/>
      <c r="H15" s="204"/>
      <c r="I15" s="102" t="s">
        <v>48</v>
      </c>
      <c r="J15" s="103" t="s">
        <v>41</v>
      </c>
      <c r="K15" s="104" t="s">
        <v>127</v>
      </c>
      <c r="L15" s="105" t="s">
        <v>101</v>
      </c>
      <c r="M15" s="101" t="s">
        <v>211</v>
      </c>
    </row>
    <row r="16" spans="1:13" ht="18" customHeight="1" x14ac:dyDescent="0.2">
      <c r="B16" s="173" t="s">
        <v>60</v>
      </c>
      <c r="C16" s="55"/>
      <c r="D16" s="176" t="s">
        <v>174</v>
      </c>
      <c r="E16" s="55" t="s">
        <v>175</v>
      </c>
      <c r="F16" s="6" t="s">
        <v>8</v>
      </c>
      <c r="G16" s="196">
        <f>ROUNDUP(G12/10,0)</f>
        <v>40</v>
      </c>
      <c r="H16" s="197"/>
      <c r="I16" s="63" t="s">
        <v>179</v>
      </c>
      <c r="J16" s="26" t="s">
        <v>61</v>
      </c>
      <c r="K16" s="60"/>
      <c r="L16" s="61" t="s">
        <v>180</v>
      </c>
      <c r="M16" s="173" t="s">
        <v>290</v>
      </c>
    </row>
    <row r="17" spans="2:13" ht="18" customHeight="1" x14ac:dyDescent="0.2">
      <c r="B17" s="174"/>
      <c r="C17" s="55"/>
      <c r="D17" s="177"/>
      <c r="E17" s="147" t="s">
        <v>292</v>
      </c>
      <c r="F17" s="143" t="s">
        <v>288</v>
      </c>
      <c r="G17" s="198">
        <f>ROUNDUP(G12*0.2/10,0)</f>
        <v>8</v>
      </c>
      <c r="H17" s="199"/>
      <c r="I17" s="148">
        <f>G17</f>
        <v>8</v>
      </c>
      <c r="J17" s="26" t="s">
        <v>61</v>
      </c>
      <c r="K17" s="141"/>
      <c r="L17" s="39">
        <f>I17*K17</f>
        <v>0</v>
      </c>
      <c r="M17" s="174"/>
    </row>
    <row r="18" spans="2:13" ht="18" customHeight="1" x14ac:dyDescent="0.2">
      <c r="B18" s="68" t="s">
        <v>9</v>
      </c>
      <c r="C18" s="5"/>
      <c r="D18" s="176" t="s">
        <v>24</v>
      </c>
      <c r="E18" s="175" t="s">
        <v>168</v>
      </c>
      <c r="F18" s="6" t="s">
        <v>8</v>
      </c>
      <c r="G18" s="191">
        <f>G12*4/18</f>
        <v>88.888888888888886</v>
      </c>
      <c r="H18" s="195"/>
      <c r="I18" s="184">
        <f>ROUNDUP(G18+G19,0)</f>
        <v>92</v>
      </c>
      <c r="J18" s="69" t="s">
        <v>296</v>
      </c>
      <c r="K18" s="178"/>
      <c r="L18" s="178">
        <f>I18*K18</f>
        <v>0</v>
      </c>
      <c r="M18" s="175" t="s">
        <v>290</v>
      </c>
    </row>
    <row r="19" spans="2:13" ht="18" customHeight="1" x14ac:dyDescent="0.2">
      <c r="B19" s="68" t="s">
        <v>23</v>
      </c>
      <c r="C19" s="5"/>
      <c r="D19" s="183"/>
      <c r="E19" s="175"/>
      <c r="F19" s="6" t="s">
        <v>8</v>
      </c>
      <c r="G19" s="191">
        <f>G10*0.2*1/18</f>
        <v>2.2222222222222223</v>
      </c>
      <c r="H19" s="195"/>
      <c r="I19" s="184"/>
      <c r="J19" s="26" t="s">
        <v>73</v>
      </c>
      <c r="K19" s="179"/>
      <c r="L19" s="179"/>
      <c r="M19" s="175"/>
    </row>
    <row r="20" spans="2:13" ht="18" customHeight="1" x14ac:dyDescent="0.2">
      <c r="B20" s="188" t="s">
        <v>287</v>
      </c>
      <c r="C20" s="189"/>
      <c r="D20" s="177"/>
      <c r="E20" s="144" t="s">
        <v>286</v>
      </c>
      <c r="F20" s="6" t="s">
        <v>288</v>
      </c>
      <c r="G20" s="191">
        <f>(G18+G19)/23*18</f>
        <v>71.304347826086968</v>
      </c>
      <c r="H20" s="192"/>
      <c r="I20" s="145">
        <f>ROUNDUP(G20,0)</f>
        <v>72</v>
      </c>
      <c r="J20" s="26"/>
      <c r="K20" s="141"/>
      <c r="L20" s="39">
        <f>I20*K20</f>
        <v>0</v>
      </c>
      <c r="M20" s="175"/>
    </row>
    <row r="21" spans="2:13" ht="18" customHeight="1" x14ac:dyDescent="0.2">
      <c r="B21" s="101" t="s">
        <v>237</v>
      </c>
      <c r="C21" s="107"/>
      <c r="D21" s="108" t="s">
        <v>238</v>
      </c>
      <c r="E21" s="101" t="s">
        <v>239</v>
      </c>
      <c r="F21" s="97" t="s">
        <v>8</v>
      </c>
      <c r="G21" s="205">
        <f>G12*1/16</f>
        <v>25</v>
      </c>
      <c r="H21" s="206"/>
      <c r="I21" s="109">
        <f>ROUNDUP(G21,0)</f>
        <v>25</v>
      </c>
      <c r="J21" s="103" t="s">
        <v>240</v>
      </c>
      <c r="K21" s="39"/>
      <c r="L21" s="39">
        <f t="shared" ref="L21:L29" si="0">I21*K21</f>
        <v>0</v>
      </c>
      <c r="M21" s="95"/>
    </row>
    <row r="22" spans="2:13" ht="18" customHeight="1" x14ac:dyDescent="0.2">
      <c r="B22" s="101" t="s">
        <v>10</v>
      </c>
      <c r="C22" s="101"/>
      <c r="D22" s="110" t="s">
        <v>33</v>
      </c>
      <c r="E22" s="101" t="s">
        <v>17</v>
      </c>
      <c r="F22" s="97" t="s">
        <v>13</v>
      </c>
      <c r="G22" s="205">
        <f>G12*1.1/100</f>
        <v>4.4000000000000004</v>
      </c>
      <c r="H22" s="206"/>
      <c r="I22" s="111">
        <f>ROUNDUP(G22,0)</f>
        <v>5</v>
      </c>
      <c r="J22" s="103" t="s">
        <v>57</v>
      </c>
      <c r="K22" s="39"/>
      <c r="L22" s="39">
        <f t="shared" si="0"/>
        <v>0</v>
      </c>
      <c r="M22" s="95"/>
    </row>
    <row r="23" spans="2:13" ht="18" customHeight="1" x14ac:dyDescent="0.2">
      <c r="B23" s="101" t="s">
        <v>11</v>
      </c>
      <c r="C23" s="101"/>
      <c r="D23" s="110" t="s">
        <v>32</v>
      </c>
      <c r="E23" s="101" t="s">
        <v>17</v>
      </c>
      <c r="F23" s="97" t="s">
        <v>13</v>
      </c>
      <c r="G23" s="203">
        <f>G10*1.1/100</f>
        <v>2.2000000000000002</v>
      </c>
      <c r="H23" s="204"/>
      <c r="I23" s="111">
        <f>ROUNDUP(G23,0)</f>
        <v>3</v>
      </c>
      <c r="J23" s="103" t="s">
        <v>58</v>
      </c>
      <c r="K23" s="39"/>
      <c r="L23" s="39">
        <f t="shared" si="0"/>
        <v>0</v>
      </c>
      <c r="M23" s="95"/>
    </row>
    <row r="24" spans="2:13" ht="18" customHeight="1" x14ac:dyDescent="0.2">
      <c r="B24" s="200" t="s">
        <v>200</v>
      </c>
      <c r="C24" s="101" t="s">
        <v>202</v>
      </c>
      <c r="D24" s="110" t="s">
        <v>205</v>
      </c>
      <c r="E24" s="101" t="s">
        <v>18</v>
      </c>
      <c r="F24" s="97" t="s">
        <v>8</v>
      </c>
      <c r="G24" s="112">
        <f>G12*1/20</f>
        <v>20</v>
      </c>
      <c r="H24" s="113"/>
      <c r="I24" s="111">
        <f>ROUNDUP(G24,0)</f>
        <v>20</v>
      </c>
      <c r="J24" s="103" t="s">
        <v>88</v>
      </c>
      <c r="K24" s="39"/>
      <c r="L24" s="39">
        <f t="shared" si="0"/>
        <v>0</v>
      </c>
      <c r="M24" s="200" t="s">
        <v>172</v>
      </c>
    </row>
    <row r="25" spans="2:13" ht="18" customHeight="1" x14ac:dyDescent="0.2">
      <c r="B25" s="201"/>
      <c r="C25" s="101" t="s">
        <v>203</v>
      </c>
      <c r="D25" s="110" t="s">
        <v>206</v>
      </c>
      <c r="E25" s="101" t="s">
        <v>19</v>
      </c>
      <c r="F25" s="97" t="s">
        <v>8</v>
      </c>
      <c r="G25" s="114"/>
      <c r="H25" s="106">
        <f>G12*0.3/15</f>
        <v>8</v>
      </c>
      <c r="I25" s="115">
        <f>ROUNDUP(H25,0)</f>
        <v>8</v>
      </c>
      <c r="J25" s="103" t="s">
        <v>90</v>
      </c>
      <c r="K25" s="39"/>
      <c r="L25" s="39">
        <f t="shared" si="0"/>
        <v>0</v>
      </c>
      <c r="M25" s="201"/>
    </row>
    <row r="26" spans="2:13" ht="18" customHeight="1" thickBot="1" x14ac:dyDescent="0.25">
      <c r="B26" s="201"/>
      <c r="C26" s="5" t="s">
        <v>270</v>
      </c>
      <c r="D26" s="8" t="s">
        <v>271</v>
      </c>
      <c r="E26" s="5" t="s">
        <v>18</v>
      </c>
      <c r="F26" s="6" t="s">
        <v>8</v>
      </c>
      <c r="G26" s="191">
        <f>G12*0.5/20</f>
        <v>10</v>
      </c>
      <c r="H26" s="192"/>
      <c r="I26" s="52">
        <f>ROUNDUP(G26,0)</f>
        <v>10</v>
      </c>
      <c r="J26" s="26" t="s">
        <v>184</v>
      </c>
      <c r="K26" s="39"/>
      <c r="L26" s="39">
        <f t="shared" si="0"/>
        <v>0</v>
      </c>
      <c r="M26" s="201"/>
    </row>
    <row r="27" spans="2:13" ht="18" customHeight="1" thickBot="1" x14ac:dyDescent="0.25">
      <c r="B27" s="201"/>
      <c r="C27" s="5" t="s">
        <v>272</v>
      </c>
      <c r="D27" s="8" t="s">
        <v>273</v>
      </c>
      <c r="E27" s="5" t="s">
        <v>18</v>
      </c>
      <c r="F27" s="6" t="s">
        <v>8</v>
      </c>
      <c r="G27" s="191">
        <f>G12*0.8/20</f>
        <v>16</v>
      </c>
      <c r="H27" s="192"/>
      <c r="I27" s="52">
        <f>ROUNDUP(G27,0)</f>
        <v>16</v>
      </c>
      <c r="J27" s="26" t="s">
        <v>274</v>
      </c>
      <c r="K27" s="39"/>
      <c r="L27" s="39"/>
      <c r="M27" s="201"/>
    </row>
    <row r="28" spans="2:13" ht="18" customHeight="1" x14ac:dyDescent="0.2">
      <c r="B28" s="201"/>
      <c r="C28" s="101" t="s">
        <v>156</v>
      </c>
      <c r="D28" s="110" t="s">
        <v>170</v>
      </c>
      <c r="E28" s="101" t="s">
        <v>18</v>
      </c>
      <c r="F28" s="97" t="s">
        <v>8</v>
      </c>
      <c r="G28" s="112">
        <f>G12*1/20</f>
        <v>20</v>
      </c>
      <c r="H28" s="113"/>
      <c r="I28" s="118">
        <f>ROUNDUP(G28,0)</f>
        <v>20</v>
      </c>
      <c r="J28" s="103" t="s">
        <v>88</v>
      </c>
      <c r="K28" s="39"/>
      <c r="L28" s="39">
        <f t="shared" si="0"/>
        <v>0</v>
      </c>
      <c r="M28" s="201"/>
    </row>
    <row r="29" spans="2:13" ht="18" customHeight="1" thickBot="1" x14ac:dyDescent="0.25">
      <c r="B29" s="202"/>
      <c r="C29" s="101" t="s">
        <v>157</v>
      </c>
      <c r="D29" s="110" t="s">
        <v>173</v>
      </c>
      <c r="E29" s="5" t="s">
        <v>19</v>
      </c>
      <c r="F29" s="6" t="s">
        <v>8</v>
      </c>
      <c r="G29" s="21"/>
      <c r="H29" s="17">
        <f>G12*0.5/15</f>
        <v>13.333333333333334</v>
      </c>
      <c r="I29" s="116">
        <f>ROUNDUP(H29,0)</f>
        <v>14</v>
      </c>
      <c r="J29" s="103" t="s">
        <v>199</v>
      </c>
      <c r="K29" s="39"/>
      <c r="L29" s="39">
        <f t="shared" si="0"/>
        <v>0</v>
      </c>
      <c r="M29" s="202"/>
    </row>
    <row r="30" spans="2:13" ht="17.25" customHeight="1" x14ac:dyDescent="0.2">
      <c r="B30" s="88" t="s">
        <v>204</v>
      </c>
      <c r="K30" s="117" t="s">
        <v>128</v>
      </c>
      <c r="L30" s="48">
        <f>SUM(L16:L29)</f>
        <v>0</v>
      </c>
    </row>
    <row r="31" spans="2:13" ht="17.25" customHeight="1" x14ac:dyDescent="0.2">
      <c r="C31" s="88" t="s">
        <v>47</v>
      </c>
      <c r="K31" s="117" t="s">
        <v>129</v>
      </c>
      <c r="L31" s="48">
        <f>L30/G12</f>
        <v>0</v>
      </c>
      <c r="M31" s="88" t="s">
        <v>182</v>
      </c>
    </row>
  </sheetData>
  <mergeCells count="23">
    <mergeCell ref="B24:B29"/>
    <mergeCell ref="G15:H15"/>
    <mergeCell ref="G18:H18"/>
    <mergeCell ref="G16:H16"/>
    <mergeCell ref="G27:H27"/>
    <mergeCell ref="G22:H22"/>
    <mergeCell ref="B16:B17"/>
    <mergeCell ref="D16:D17"/>
    <mergeCell ref="B20:C20"/>
    <mergeCell ref="G19:H19"/>
    <mergeCell ref="G21:H21"/>
    <mergeCell ref="M16:M17"/>
    <mergeCell ref="G17:H17"/>
    <mergeCell ref="D18:D20"/>
    <mergeCell ref="M18:M20"/>
    <mergeCell ref="G20:H20"/>
    <mergeCell ref="L18:L19"/>
    <mergeCell ref="M24:M29"/>
    <mergeCell ref="E18:E19"/>
    <mergeCell ref="I18:I19"/>
    <mergeCell ref="K18:K19"/>
    <mergeCell ref="G23:H23"/>
    <mergeCell ref="G26:H26"/>
  </mergeCells>
  <phoneticPr fontId="2"/>
  <pageMargins left="0.75" right="0.75" top="1" bottom="1" header="0.51200000000000001" footer="0.51200000000000001"/>
  <pageSetup paperSize="9" orientation="landscape" horizontalDpi="4294967293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8"/>
  <dimension ref="A4:K26"/>
  <sheetViews>
    <sheetView topLeftCell="A10" workbookViewId="0">
      <selection activeCell="F18" sqref="F18"/>
    </sheetView>
  </sheetViews>
  <sheetFormatPr defaultColWidth="9" defaultRowHeight="13.2" x14ac:dyDescent="0.2"/>
  <cols>
    <col min="1" max="1" width="3.6640625" style="1" customWidth="1"/>
    <col min="2" max="2" width="16.21875" style="1" customWidth="1"/>
    <col min="3" max="3" width="21.88671875" style="1" customWidth="1"/>
    <col min="4" max="4" width="17.109375" style="1" customWidth="1"/>
    <col min="5" max="5" width="3.33203125" style="2" bestFit="1" customWidth="1"/>
    <col min="6" max="6" width="13.77734375" style="1" customWidth="1"/>
    <col min="7" max="7" width="16.44140625" style="1" customWidth="1"/>
    <col min="8" max="8" width="11.33203125" style="1" customWidth="1"/>
    <col min="9" max="9" width="9.77734375" style="1" bestFit="1" customWidth="1"/>
    <col min="10" max="10" width="10.44140625" style="1" customWidth="1"/>
    <col min="11" max="11" width="12.21875" style="1" customWidth="1"/>
    <col min="12" max="16384" width="9" style="1"/>
  </cols>
  <sheetData>
    <row r="4" spans="1:11" ht="19.5" customHeight="1" x14ac:dyDescent="0.2">
      <c r="B4" s="13" t="s">
        <v>339</v>
      </c>
      <c r="C4" s="14"/>
      <c r="D4" s="14"/>
      <c r="E4" s="15"/>
      <c r="F4" s="14"/>
      <c r="H4" s="207">
        <f ca="1">NOW()</f>
        <v>45651.359709837961</v>
      </c>
      <c r="I4" s="207"/>
      <c r="J4" s="207"/>
    </row>
    <row r="5" spans="1:11" ht="19.5" customHeight="1" thickBot="1" x14ac:dyDescent="0.25">
      <c r="B5" s="47"/>
      <c r="C5" s="47" t="s">
        <v>63</v>
      </c>
      <c r="D5" s="47"/>
    </row>
    <row r="6" spans="1:11" ht="18.75" customHeight="1" x14ac:dyDescent="0.2">
      <c r="A6" s="1" t="s">
        <v>70</v>
      </c>
      <c r="B6" s="1" t="s">
        <v>0</v>
      </c>
      <c r="C6" s="16" t="s">
        <v>59</v>
      </c>
      <c r="F6" s="7" t="s">
        <v>34</v>
      </c>
    </row>
    <row r="7" spans="1:11" ht="18.75" customHeight="1" x14ac:dyDescent="0.2">
      <c r="C7" s="3" t="s">
        <v>65</v>
      </c>
      <c r="D7" s="4" t="s">
        <v>51</v>
      </c>
      <c r="E7" s="6" t="s">
        <v>52</v>
      </c>
      <c r="F7" s="9">
        <v>300</v>
      </c>
    </row>
    <row r="8" spans="1:11" ht="18.75" customHeight="1" x14ac:dyDescent="0.2">
      <c r="C8" s="3" t="s">
        <v>66</v>
      </c>
      <c r="D8" s="4" t="s">
        <v>71</v>
      </c>
      <c r="E8" s="6" t="s">
        <v>72</v>
      </c>
      <c r="F8" s="9"/>
    </row>
    <row r="9" spans="1:11" ht="18.75" customHeight="1" x14ac:dyDescent="0.2">
      <c r="C9" s="3" t="s">
        <v>67</v>
      </c>
      <c r="D9" s="4"/>
      <c r="E9" s="6" t="s">
        <v>16</v>
      </c>
      <c r="F9" s="10">
        <v>100</v>
      </c>
    </row>
    <row r="10" spans="1:11" ht="18.75" customHeight="1" x14ac:dyDescent="0.2">
      <c r="C10" s="3"/>
      <c r="D10" s="4"/>
      <c r="E10" s="6" t="s">
        <v>16</v>
      </c>
      <c r="F10" s="10"/>
    </row>
    <row r="11" spans="1:11" ht="24.75" customHeight="1" thickBot="1" x14ac:dyDescent="0.25">
      <c r="C11" s="3" t="s">
        <v>28</v>
      </c>
      <c r="D11" s="4" t="s">
        <v>54</v>
      </c>
      <c r="E11" s="6" t="s">
        <v>55</v>
      </c>
      <c r="F11" s="11">
        <f>F7+F8</f>
        <v>300</v>
      </c>
    </row>
    <row r="12" spans="1:11" ht="13.5" customHeight="1" thickBot="1" x14ac:dyDescent="0.25">
      <c r="D12" s="53"/>
      <c r="F12" s="54"/>
    </row>
    <row r="13" spans="1:11" ht="20.25" customHeight="1" x14ac:dyDescent="0.2">
      <c r="A13" s="1" t="s">
        <v>56</v>
      </c>
      <c r="B13" s="1" t="s">
        <v>31</v>
      </c>
      <c r="C13" s="16" t="s">
        <v>36</v>
      </c>
      <c r="F13" s="6"/>
      <c r="G13" s="7" t="s">
        <v>35</v>
      </c>
    </row>
    <row r="14" spans="1:11" x14ac:dyDescent="0.2">
      <c r="B14" s="5" t="s">
        <v>12</v>
      </c>
      <c r="C14" s="5" t="s">
        <v>7</v>
      </c>
      <c r="D14" s="5" t="s">
        <v>20</v>
      </c>
      <c r="E14" s="6"/>
      <c r="F14" s="6"/>
      <c r="G14" s="29" t="s">
        <v>48</v>
      </c>
      <c r="H14" s="26" t="s">
        <v>41</v>
      </c>
      <c r="I14" s="36" t="s">
        <v>127</v>
      </c>
      <c r="J14" s="37" t="s">
        <v>101</v>
      </c>
      <c r="K14" s="5" t="s">
        <v>289</v>
      </c>
    </row>
    <row r="15" spans="1:11" ht="18" customHeight="1" x14ac:dyDescent="0.2">
      <c r="B15" s="173" t="s">
        <v>86</v>
      </c>
      <c r="C15" s="176" t="s">
        <v>174</v>
      </c>
      <c r="D15" s="55" t="s">
        <v>291</v>
      </c>
      <c r="E15" s="6" t="s">
        <v>8</v>
      </c>
      <c r="F15" s="62">
        <f>ROUNDUP(F11/10,0)</f>
        <v>30</v>
      </c>
      <c r="G15" s="63" t="s">
        <v>179</v>
      </c>
      <c r="H15" s="26" t="s">
        <v>61</v>
      </c>
      <c r="I15" s="60"/>
      <c r="J15" s="61" t="s">
        <v>180</v>
      </c>
      <c r="K15" s="175" t="s">
        <v>290</v>
      </c>
    </row>
    <row r="16" spans="1:11" ht="18" customHeight="1" x14ac:dyDescent="0.2">
      <c r="B16" s="174"/>
      <c r="C16" s="177"/>
      <c r="D16" s="147" t="s">
        <v>292</v>
      </c>
      <c r="E16" s="143" t="s">
        <v>288</v>
      </c>
      <c r="F16" s="142">
        <f>ROUNDUP(F11*0.2/10,0)</f>
        <v>6</v>
      </c>
      <c r="G16" s="146">
        <f>F16</f>
        <v>6</v>
      </c>
      <c r="H16" s="26" t="s">
        <v>61</v>
      </c>
      <c r="I16" s="141"/>
      <c r="J16" s="39">
        <f>G16*I16</f>
        <v>0</v>
      </c>
      <c r="K16" s="175"/>
    </row>
    <row r="17" spans="2:11" ht="18" customHeight="1" x14ac:dyDescent="0.2">
      <c r="B17" s="5" t="s">
        <v>9</v>
      </c>
      <c r="C17" s="176" t="s">
        <v>24</v>
      </c>
      <c r="D17" s="175" t="s">
        <v>168</v>
      </c>
      <c r="E17" s="6" t="s">
        <v>8</v>
      </c>
      <c r="F17" s="17">
        <f>F11*2/18</f>
        <v>33.333333333333336</v>
      </c>
      <c r="G17" s="186">
        <f>ROUNDUP(F17+F18+F19,0)</f>
        <v>38</v>
      </c>
      <c r="H17" s="69" t="s">
        <v>42</v>
      </c>
      <c r="I17" s="185"/>
      <c r="J17" s="185">
        <f>G17*I17</f>
        <v>0</v>
      </c>
      <c r="K17" s="175" t="s">
        <v>290</v>
      </c>
    </row>
    <row r="18" spans="2:11" ht="18" customHeight="1" x14ac:dyDescent="0.2">
      <c r="B18" s="5" t="s">
        <v>124</v>
      </c>
      <c r="C18" s="183"/>
      <c r="D18" s="175"/>
      <c r="E18" s="6" t="s">
        <v>8</v>
      </c>
      <c r="F18" s="17">
        <f>F9*0.2*1/18</f>
        <v>1.1111111111111112</v>
      </c>
      <c r="G18" s="186"/>
      <c r="H18" s="26" t="s">
        <v>73</v>
      </c>
      <c r="I18" s="185"/>
      <c r="J18" s="185"/>
      <c r="K18" s="175"/>
    </row>
    <row r="19" spans="2:11" ht="18" customHeight="1" x14ac:dyDescent="0.2">
      <c r="B19" s="5" t="s">
        <v>125</v>
      </c>
      <c r="C19" s="183"/>
      <c r="D19" s="175"/>
      <c r="E19" s="6" t="s">
        <v>8</v>
      </c>
      <c r="F19" s="17">
        <f>F7*0.2/18</f>
        <v>3.3333333333333335</v>
      </c>
      <c r="G19" s="186"/>
      <c r="H19" s="26" t="s">
        <v>73</v>
      </c>
      <c r="I19" s="185"/>
      <c r="J19" s="185"/>
      <c r="K19" s="175"/>
    </row>
    <row r="20" spans="2:11" ht="18" customHeight="1" x14ac:dyDescent="0.2">
      <c r="B20" s="144" t="s">
        <v>287</v>
      </c>
      <c r="C20" s="177"/>
      <c r="D20" s="144" t="s">
        <v>286</v>
      </c>
      <c r="E20" s="6" t="s">
        <v>288</v>
      </c>
      <c r="F20" s="17">
        <f>(F17+F18+F19)/23*18</f>
        <v>29.565217391304355</v>
      </c>
      <c r="G20" s="145">
        <f>ROUNDUP(F20,0)</f>
        <v>30</v>
      </c>
      <c r="H20" s="26"/>
      <c r="I20" s="141"/>
      <c r="J20" s="39">
        <f>G20*I20</f>
        <v>0</v>
      </c>
      <c r="K20" s="175"/>
    </row>
    <row r="21" spans="2:11" ht="18" customHeight="1" x14ac:dyDescent="0.2">
      <c r="B21" s="5" t="s">
        <v>10</v>
      </c>
      <c r="C21" s="8" t="s">
        <v>33</v>
      </c>
      <c r="D21" s="5" t="s">
        <v>17</v>
      </c>
      <c r="E21" s="6" t="s">
        <v>13</v>
      </c>
      <c r="F21" s="17">
        <f>(F11*1.1)/100</f>
        <v>3.3</v>
      </c>
      <c r="G21" s="64">
        <f>ROUNDUP(F21,0)</f>
        <v>4</v>
      </c>
      <c r="H21" s="26" t="s">
        <v>57</v>
      </c>
      <c r="I21" s="39"/>
      <c r="J21" s="39">
        <f>G21*I21</f>
        <v>0</v>
      </c>
      <c r="K21" s="3"/>
    </row>
    <row r="22" spans="2:11" ht="18" customHeight="1" x14ac:dyDescent="0.2">
      <c r="B22" s="5" t="s">
        <v>11</v>
      </c>
      <c r="C22" s="8" t="s">
        <v>32</v>
      </c>
      <c r="D22" s="5" t="s">
        <v>17</v>
      </c>
      <c r="E22" s="6" t="s">
        <v>13</v>
      </c>
      <c r="F22" s="17">
        <f>((F11*2.8/20)+F9*1.1)/100</f>
        <v>1.52</v>
      </c>
      <c r="G22" s="64">
        <f>ROUNDUP(F22,0)</f>
        <v>2</v>
      </c>
      <c r="H22" s="26" t="s">
        <v>58</v>
      </c>
      <c r="I22" s="39"/>
      <c r="J22" s="39">
        <f>G22*I22</f>
        <v>0</v>
      </c>
      <c r="K22" s="3"/>
    </row>
    <row r="23" spans="2:11" ht="18" customHeight="1" thickBot="1" x14ac:dyDescent="0.25">
      <c r="B23" s="5" t="s">
        <v>64</v>
      </c>
      <c r="C23" s="8" t="s">
        <v>74</v>
      </c>
      <c r="D23" s="5" t="s">
        <v>68</v>
      </c>
      <c r="E23" s="6" t="s">
        <v>69</v>
      </c>
      <c r="F23" s="17">
        <f>F11*1/(0.91*1.82)</f>
        <v>181.13754377490639</v>
      </c>
      <c r="G23" s="52">
        <f>ROUNDUP(F23,0)</f>
        <v>182</v>
      </c>
      <c r="H23" s="26"/>
      <c r="I23" s="39"/>
      <c r="J23" s="39">
        <f>G23*I23</f>
        <v>0</v>
      </c>
      <c r="K23" s="3"/>
    </row>
    <row r="24" spans="2:11" ht="19.5" customHeight="1" x14ac:dyDescent="0.2">
      <c r="I24" s="45" t="s">
        <v>128</v>
      </c>
      <c r="J24" s="44">
        <f>SUM(J15:J23)</f>
        <v>0</v>
      </c>
    </row>
    <row r="25" spans="2:11" ht="19.5" customHeight="1" x14ac:dyDescent="0.2">
      <c r="C25" s="1" t="s">
        <v>47</v>
      </c>
      <c r="I25" s="45" t="s">
        <v>129</v>
      </c>
      <c r="J25" s="46">
        <f>J24/F11</f>
        <v>0</v>
      </c>
      <c r="K25" s="1" t="s">
        <v>182</v>
      </c>
    </row>
    <row r="26" spans="2:11" x14ac:dyDescent="0.2">
      <c r="C26" s="1" t="s">
        <v>75</v>
      </c>
    </row>
  </sheetData>
  <mergeCells count="10">
    <mergeCell ref="B15:B16"/>
    <mergeCell ref="C15:C16"/>
    <mergeCell ref="K15:K16"/>
    <mergeCell ref="C17:C20"/>
    <mergeCell ref="K17:K20"/>
    <mergeCell ref="H4:J4"/>
    <mergeCell ref="D17:D19"/>
    <mergeCell ref="G17:G19"/>
    <mergeCell ref="I17:I19"/>
    <mergeCell ref="J17:J19"/>
  </mergeCells>
  <phoneticPr fontId="2"/>
  <pageMargins left="0.75" right="0.75" top="1" bottom="1" header="0.51200000000000001" footer="0.51200000000000001"/>
  <pageSetup paperSize="9" scale="97" orientation="landscape" horizontalDpi="4294967293" verticalDpi="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4:K26"/>
  <sheetViews>
    <sheetView topLeftCell="A10" workbookViewId="0">
      <selection activeCell="G17" sqref="G17:G19"/>
    </sheetView>
  </sheetViews>
  <sheetFormatPr defaultColWidth="9" defaultRowHeight="13.2" x14ac:dyDescent="0.2"/>
  <cols>
    <col min="1" max="1" width="3.6640625" style="1" customWidth="1"/>
    <col min="2" max="2" width="16.21875" style="1" customWidth="1"/>
    <col min="3" max="3" width="21.88671875" style="1" customWidth="1"/>
    <col min="4" max="4" width="18.109375" style="1" customWidth="1"/>
    <col min="5" max="5" width="3.33203125" style="2" bestFit="1" customWidth="1"/>
    <col min="6" max="6" width="13.77734375" style="1" customWidth="1"/>
    <col min="7" max="7" width="13" style="1" bestFit="1" customWidth="1"/>
    <col min="8" max="8" width="11.33203125" style="1" customWidth="1"/>
    <col min="9" max="9" width="9.77734375" style="1" bestFit="1" customWidth="1"/>
    <col min="10" max="10" width="9" style="1"/>
    <col min="11" max="11" width="11.88671875" style="1" customWidth="1"/>
    <col min="12" max="16384" width="9" style="1"/>
  </cols>
  <sheetData>
    <row r="4" spans="1:11" ht="19.5" customHeight="1" x14ac:dyDescent="0.2">
      <c r="B4" s="13" t="s">
        <v>340</v>
      </c>
      <c r="C4" s="14"/>
      <c r="D4" s="14"/>
      <c r="E4" s="15"/>
      <c r="F4" s="14"/>
      <c r="H4" s="207">
        <f ca="1">NOW()</f>
        <v>45651.359709837961</v>
      </c>
      <c r="I4" s="207"/>
      <c r="J4" s="207"/>
    </row>
    <row r="5" spans="1:11" ht="19.5" customHeight="1" thickBot="1" x14ac:dyDescent="0.25">
      <c r="B5" s="47"/>
      <c r="C5" s="47" t="s">
        <v>197</v>
      </c>
      <c r="D5" s="47"/>
    </row>
    <row r="6" spans="1:11" ht="18.75" customHeight="1" x14ac:dyDescent="0.2">
      <c r="A6" s="1" t="s">
        <v>189</v>
      </c>
      <c r="B6" s="1" t="s">
        <v>0</v>
      </c>
      <c r="C6" s="16" t="s">
        <v>59</v>
      </c>
      <c r="F6" s="7" t="s">
        <v>34</v>
      </c>
    </row>
    <row r="7" spans="1:11" ht="18.75" customHeight="1" x14ac:dyDescent="0.2">
      <c r="C7" s="3" t="s">
        <v>65</v>
      </c>
      <c r="D7" s="4" t="s">
        <v>190</v>
      </c>
      <c r="E7" s="6" t="s">
        <v>191</v>
      </c>
      <c r="F7" s="9">
        <v>300</v>
      </c>
    </row>
    <row r="8" spans="1:11" ht="18.75" customHeight="1" x14ac:dyDescent="0.2">
      <c r="C8" s="3" t="s">
        <v>66</v>
      </c>
      <c r="D8" s="4" t="s">
        <v>192</v>
      </c>
      <c r="E8" s="6" t="s">
        <v>191</v>
      </c>
      <c r="F8" s="9"/>
    </row>
    <row r="9" spans="1:11" ht="18.75" customHeight="1" x14ac:dyDescent="0.2">
      <c r="C9" s="3" t="s">
        <v>67</v>
      </c>
      <c r="D9" s="4"/>
      <c r="E9" s="6" t="s">
        <v>193</v>
      </c>
      <c r="F9" s="10">
        <v>100</v>
      </c>
    </row>
    <row r="10" spans="1:11" ht="18.75" customHeight="1" x14ac:dyDescent="0.2">
      <c r="C10" s="3"/>
      <c r="D10" s="4"/>
      <c r="E10" s="6"/>
      <c r="F10" s="10"/>
    </row>
    <row r="11" spans="1:11" ht="24.75" customHeight="1" thickBot="1" x14ac:dyDescent="0.25">
      <c r="C11" s="3" t="s">
        <v>28</v>
      </c>
      <c r="D11" s="4" t="s">
        <v>194</v>
      </c>
      <c r="E11" s="6" t="s">
        <v>191</v>
      </c>
      <c r="F11" s="11">
        <f>F7+F8</f>
        <v>300</v>
      </c>
    </row>
    <row r="12" spans="1:11" ht="13.5" customHeight="1" thickBot="1" x14ac:dyDescent="0.25">
      <c r="D12" s="53"/>
      <c r="F12" s="54"/>
    </row>
    <row r="13" spans="1:11" ht="20.25" customHeight="1" x14ac:dyDescent="0.2">
      <c r="A13" s="1" t="s">
        <v>195</v>
      </c>
      <c r="B13" s="1" t="s">
        <v>31</v>
      </c>
      <c r="C13" s="16" t="s">
        <v>36</v>
      </c>
      <c r="F13" s="6"/>
      <c r="G13" s="7" t="s">
        <v>35</v>
      </c>
    </row>
    <row r="14" spans="1:11" x14ac:dyDescent="0.2">
      <c r="B14" s="5" t="s">
        <v>12</v>
      </c>
      <c r="C14" s="5" t="s">
        <v>7</v>
      </c>
      <c r="D14" s="5" t="s">
        <v>20</v>
      </c>
      <c r="E14" s="6"/>
      <c r="F14" s="6"/>
      <c r="G14" s="29" t="s">
        <v>48</v>
      </c>
      <c r="H14" s="26" t="s">
        <v>41</v>
      </c>
      <c r="I14" s="36" t="s">
        <v>127</v>
      </c>
      <c r="J14" s="37" t="s">
        <v>101</v>
      </c>
      <c r="K14" s="5" t="s">
        <v>289</v>
      </c>
    </row>
    <row r="15" spans="1:11" ht="18" customHeight="1" x14ac:dyDescent="0.2">
      <c r="B15" s="173" t="s">
        <v>86</v>
      </c>
      <c r="C15" s="176" t="s">
        <v>174</v>
      </c>
      <c r="D15" s="55" t="s">
        <v>291</v>
      </c>
      <c r="E15" s="6" t="s">
        <v>8</v>
      </c>
      <c r="F15" s="62">
        <f>ROUNDUP(F11/10,0)</f>
        <v>30</v>
      </c>
      <c r="G15" s="63" t="s">
        <v>179</v>
      </c>
      <c r="H15" s="26" t="s">
        <v>61</v>
      </c>
      <c r="I15" s="60"/>
      <c r="J15" s="61" t="s">
        <v>180</v>
      </c>
      <c r="K15" s="175" t="s">
        <v>290</v>
      </c>
    </row>
    <row r="16" spans="1:11" ht="18" customHeight="1" x14ac:dyDescent="0.2">
      <c r="B16" s="174"/>
      <c r="C16" s="177"/>
      <c r="D16" s="147" t="s">
        <v>292</v>
      </c>
      <c r="E16" s="143" t="s">
        <v>288</v>
      </c>
      <c r="F16" s="142">
        <f>ROUNDUP(F11*0.2/10,0)</f>
        <v>6</v>
      </c>
      <c r="G16" s="146">
        <f>F16</f>
        <v>6</v>
      </c>
      <c r="H16" s="26" t="s">
        <v>61</v>
      </c>
      <c r="I16" s="141"/>
      <c r="J16" s="39">
        <f>G16*I16</f>
        <v>0</v>
      </c>
      <c r="K16" s="175"/>
    </row>
    <row r="17" spans="2:11" ht="18" customHeight="1" x14ac:dyDescent="0.2">
      <c r="B17" s="5" t="s">
        <v>9</v>
      </c>
      <c r="C17" s="176" t="s">
        <v>24</v>
      </c>
      <c r="D17" s="175" t="s">
        <v>168</v>
      </c>
      <c r="E17" s="6" t="s">
        <v>8</v>
      </c>
      <c r="F17" s="17">
        <f>F11*6.5/18</f>
        <v>108.33333333333333</v>
      </c>
      <c r="G17" s="186">
        <f>ROUNDUP(F17+F18+F19,0)</f>
        <v>113</v>
      </c>
      <c r="H17" s="69" t="s">
        <v>285</v>
      </c>
      <c r="I17" s="185"/>
      <c r="J17" s="185">
        <f>G17*I17</f>
        <v>0</v>
      </c>
      <c r="K17" s="175" t="s">
        <v>290</v>
      </c>
    </row>
    <row r="18" spans="2:11" ht="18" customHeight="1" x14ac:dyDescent="0.2">
      <c r="B18" s="5" t="s">
        <v>124</v>
      </c>
      <c r="C18" s="183"/>
      <c r="D18" s="175"/>
      <c r="E18" s="6" t="s">
        <v>8</v>
      </c>
      <c r="F18" s="17">
        <f>F9*0.2*1/18</f>
        <v>1.1111111111111112</v>
      </c>
      <c r="G18" s="186"/>
      <c r="H18" s="26" t="s">
        <v>73</v>
      </c>
      <c r="I18" s="185"/>
      <c r="J18" s="185"/>
      <c r="K18" s="175"/>
    </row>
    <row r="19" spans="2:11" ht="18" customHeight="1" x14ac:dyDescent="0.2">
      <c r="B19" s="5" t="s">
        <v>125</v>
      </c>
      <c r="C19" s="183"/>
      <c r="D19" s="175"/>
      <c r="E19" s="6" t="s">
        <v>8</v>
      </c>
      <c r="F19" s="17">
        <f>F7*0.2/18</f>
        <v>3.3333333333333335</v>
      </c>
      <c r="G19" s="186"/>
      <c r="H19" s="26" t="s">
        <v>73</v>
      </c>
      <c r="I19" s="185"/>
      <c r="J19" s="185"/>
      <c r="K19" s="175"/>
    </row>
    <row r="20" spans="2:11" ht="18" customHeight="1" x14ac:dyDescent="0.2">
      <c r="B20" s="144" t="s">
        <v>287</v>
      </c>
      <c r="C20" s="177"/>
      <c r="D20" s="144" t="s">
        <v>286</v>
      </c>
      <c r="E20" s="6" t="s">
        <v>288</v>
      </c>
      <c r="F20" s="17">
        <f>(F17+F18+F19)/23*18</f>
        <v>88.260869565217376</v>
      </c>
      <c r="G20" s="145">
        <f>ROUNDUP(F20,0)</f>
        <v>89</v>
      </c>
      <c r="H20" s="26"/>
      <c r="I20" s="141"/>
      <c r="J20" s="39">
        <f>G20*I20</f>
        <v>0</v>
      </c>
      <c r="K20" s="175"/>
    </row>
    <row r="21" spans="2:11" ht="18" customHeight="1" x14ac:dyDescent="0.2">
      <c r="B21" s="5" t="s">
        <v>10</v>
      </c>
      <c r="C21" s="8" t="s">
        <v>33</v>
      </c>
      <c r="D21" s="5" t="s">
        <v>17</v>
      </c>
      <c r="E21" s="6" t="s">
        <v>13</v>
      </c>
      <c r="F21" s="17">
        <f>F11*1.1/100</f>
        <v>3.3</v>
      </c>
      <c r="G21" s="64">
        <f>ROUNDUP(F21,0)</f>
        <v>4</v>
      </c>
      <c r="H21" s="26" t="s">
        <v>57</v>
      </c>
      <c r="I21" s="39"/>
      <c r="J21" s="39">
        <f>G21*I21</f>
        <v>0</v>
      </c>
      <c r="K21" s="3"/>
    </row>
    <row r="22" spans="2:11" ht="18" customHeight="1" x14ac:dyDescent="0.2">
      <c r="B22" s="5" t="s">
        <v>11</v>
      </c>
      <c r="C22" s="8" t="s">
        <v>32</v>
      </c>
      <c r="D22" s="5" t="s">
        <v>17</v>
      </c>
      <c r="E22" s="6" t="s">
        <v>13</v>
      </c>
      <c r="F22" s="17">
        <f>((F11*2.8/20)+F9*1.1)/100</f>
        <v>1.52</v>
      </c>
      <c r="G22" s="64">
        <f>ROUNDUP(F22,0)</f>
        <v>2</v>
      </c>
      <c r="H22" s="26" t="s">
        <v>58</v>
      </c>
      <c r="I22" s="39"/>
      <c r="J22" s="39">
        <f>G22*I22</f>
        <v>0</v>
      </c>
      <c r="K22" s="3"/>
    </row>
    <row r="23" spans="2:11" ht="18" customHeight="1" thickBot="1" x14ac:dyDescent="0.25">
      <c r="B23" s="5" t="s">
        <v>64</v>
      </c>
      <c r="C23" s="8" t="s">
        <v>196</v>
      </c>
      <c r="D23" s="5" t="s">
        <v>68</v>
      </c>
      <c r="E23" s="6" t="s">
        <v>69</v>
      </c>
      <c r="F23" s="17">
        <f>F11*1/(0.91*1.82)</f>
        <v>181.13754377490639</v>
      </c>
      <c r="G23" s="52">
        <f>ROUNDUP(F23,0)</f>
        <v>182</v>
      </c>
      <c r="H23" s="26"/>
      <c r="I23" s="39"/>
      <c r="J23" s="39">
        <f>G23*I23</f>
        <v>0</v>
      </c>
      <c r="K23" s="3"/>
    </row>
    <row r="24" spans="2:11" ht="19.5" customHeight="1" x14ac:dyDescent="0.2">
      <c r="C24" s="1" t="s">
        <v>49</v>
      </c>
      <c r="I24" s="45" t="s">
        <v>128</v>
      </c>
      <c r="J24" s="44">
        <f>SUM(J15:J23)</f>
        <v>0</v>
      </c>
    </row>
    <row r="25" spans="2:11" ht="19.5" customHeight="1" x14ac:dyDescent="0.2">
      <c r="C25" s="1" t="s">
        <v>47</v>
      </c>
      <c r="I25" s="45" t="s">
        <v>129</v>
      </c>
      <c r="J25" s="48">
        <f>J24/F11</f>
        <v>0</v>
      </c>
      <c r="K25" s="1" t="s">
        <v>182</v>
      </c>
    </row>
    <row r="26" spans="2:11" x14ac:dyDescent="0.2">
      <c r="C26" s="1" t="s">
        <v>75</v>
      </c>
    </row>
  </sheetData>
  <mergeCells count="10">
    <mergeCell ref="B15:B16"/>
    <mergeCell ref="C15:C16"/>
    <mergeCell ref="K15:K16"/>
    <mergeCell ref="C17:C20"/>
    <mergeCell ref="K17:K20"/>
    <mergeCell ref="H4:J4"/>
    <mergeCell ref="D17:D19"/>
    <mergeCell ref="G17:G19"/>
    <mergeCell ref="I17:I19"/>
    <mergeCell ref="J17:J19"/>
  </mergeCells>
  <phoneticPr fontId="2"/>
  <pageMargins left="0.75" right="0.75" top="1" bottom="1" header="0.51200000000000001" footer="0.51200000000000001"/>
  <pageSetup paperSize="9" orientation="landscape" horizontalDpi="4294967293" verticalDpi="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4:L19"/>
  <sheetViews>
    <sheetView workbookViewId="0">
      <selection activeCell="F12" sqref="F12"/>
    </sheetView>
  </sheetViews>
  <sheetFormatPr defaultColWidth="9" defaultRowHeight="13.2" x14ac:dyDescent="0.2"/>
  <cols>
    <col min="1" max="1" width="2.44140625" style="1" customWidth="1"/>
    <col min="2" max="2" width="20.33203125" style="1" customWidth="1"/>
    <col min="3" max="3" width="29" style="1" customWidth="1"/>
    <col min="4" max="4" width="13.21875" style="1" customWidth="1"/>
    <col min="5" max="5" width="3.33203125" style="2" bestFit="1" customWidth="1"/>
    <col min="6" max="6" width="15.33203125" style="1" customWidth="1"/>
    <col min="7" max="7" width="9" style="1"/>
    <col min="8" max="8" width="12.109375" style="1" customWidth="1"/>
    <col min="9" max="9" width="12.6640625" style="1" customWidth="1"/>
    <col min="10" max="10" width="15.109375" style="1" customWidth="1"/>
    <col min="11" max="11" width="15.33203125" style="1" customWidth="1"/>
    <col min="12" max="12" width="8.77734375" style="1" customWidth="1"/>
    <col min="13" max="16384" width="9" style="1"/>
  </cols>
  <sheetData>
    <row r="4" spans="1:12" x14ac:dyDescent="0.2">
      <c r="J4" s="209">
        <f ca="1">NOW()</f>
        <v>45651.359709837961</v>
      </c>
      <c r="K4" s="210"/>
      <c r="L4" s="210"/>
    </row>
    <row r="5" spans="1:12" ht="20.25" customHeight="1" x14ac:dyDescent="0.2">
      <c r="A5" s="34"/>
      <c r="B5" s="47"/>
      <c r="C5" s="47"/>
      <c r="D5" s="47"/>
      <c r="F5" s="34" t="s">
        <v>97</v>
      </c>
    </row>
    <row r="6" spans="1:12" ht="14.4" x14ac:dyDescent="0.2">
      <c r="B6" s="1" t="s">
        <v>98</v>
      </c>
      <c r="C6" s="27" t="s">
        <v>341</v>
      </c>
      <c r="E6" s="15"/>
      <c r="F6" s="14"/>
      <c r="G6" s="14"/>
    </row>
    <row r="7" spans="1:12" ht="14.4" x14ac:dyDescent="0.2">
      <c r="C7" s="27"/>
      <c r="E7" s="15"/>
      <c r="F7" s="14"/>
      <c r="G7" s="14"/>
    </row>
    <row r="8" spans="1:12" ht="46.5" customHeight="1" x14ac:dyDescent="0.2">
      <c r="A8" s="1" t="s">
        <v>50</v>
      </c>
      <c r="B8" s="1" t="s">
        <v>0</v>
      </c>
      <c r="C8" s="193" t="s">
        <v>99</v>
      </c>
      <c r="D8" s="208"/>
      <c r="E8" s="6" t="s">
        <v>110</v>
      </c>
      <c r="F8" s="35">
        <v>4000</v>
      </c>
      <c r="H8" s="1" t="s">
        <v>100</v>
      </c>
    </row>
    <row r="9" spans="1:12" ht="13.8" thickBot="1" x14ac:dyDescent="0.25">
      <c r="A9" s="1" t="s">
        <v>111</v>
      </c>
      <c r="B9" s="1" t="s">
        <v>31</v>
      </c>
      <c r="C9" s="16"/>
      <c r="E9" s="1"/>
    </row>
    <row r="10" spans="1:12" ht="18" customHeight="1" x14ac:dyDescent="0.2">
      <c r="B10" s="5" t="s">
        <v>12</v>
      </c>
      <c r="C10" s="5" t="s">
        <v>7</v>
      </c>
      <c r="D10" s="5" t="s">
        <v>20</v>
      </c>
      <c r="E10" s="6"/>
      <c r="F10" s="50" t="s">
        <v>48</v>
      </c>
      <c r="G10" s="26" t="s">
        <v>41</v>
      </c>
      <c r="H10" s="36" t="s">
        <v>127</v>
      </c>
      <c r="I10" s="37" t="s">
        <v>101</v>
      </c>
    </row>
    <row r="11" spans="1:12" ht="36.75" customHeight="1" x14ac:dyDescent="0.2">
      <c r="B11" s="5" t="s">
        <v>9</v>
      </c>
      <c r="C11" s="22" t="s">
        <v>252</v>
      </c>
      <c r="D11" s="23" t="s">
        <v>168</v>
      </c>
      <c r="E11" s="6" t="s">
        <v>8</v>
      </c>
      <c r="F11" s="51">
        <f>ROUNDUP(F8*1.2/18,0)</f>
        <v>267</v>
      </c>
      <c r="G11" s="49" t="s">
        <v>254</v>
      </c>
      <c r="H11" s="38"/>
      <c r="I11" s="39">
        <f>F11*H11</f>
        <v>0</v>
      </c>
    </row>
    <row r="12" spans="1:12" ht="36" customHeight="1" thickBot="1" x14ac:dyDescent="0.25">
      <c r="B12" s="5" t="s">
        <v>169</v>
      </c>
      <c r="C12" s="8" t="s">
        <v>173</v>
      </c>
      <c r="D12" s="5" t="s">
        <v>19</v>
      </c>
      <c r="E12" s="6" t="s">
        <v>8</v>
      </c>
      <c r="F12" s="52">
        <f>ROUNDUP(F8*0.5/15,0)</f>
        <v>134</v>
      </c>
      <c r="G12" s="49" t="s">
        <v>251</v>
      </c>
      <c r="H12" s="39"/>
      <c r="I12" s="39">
        <f>F12*H12</f>
        <v>0</v>
      </c>
    </row>
    <row r="13" spans="1:12" ht="32.25" customHeight="1" x14ac:dyDescent="0.2">
      <c r="H13" s="45" t="s">
        <v>128</v>
      </c>
      <c r="I13" s="44">
        <f>SUM(I11:I12)</f>
        <v>0</v>
      </c>
    </row>
    <row r="14" spans="1:12" ht="21" customHeight="1" x14ac:dyDescent="0.2">
      <c r="B14" s="1" t="s">
        <v>104</v>
      </c>
      <c r="H14" s="45" t="s">
        <v>129</v>
      </c>
      <c r="I14" s="48">
        <f>I13/F8</f>
        <v>0</v>
      </c>
      <c r="J14" s="1" t="s">
        <v>182</v>
      </c>
    </row>
    <row r="15" spans="1:12" x14ac:dyDescent="0.2">
      <c r="B15" s="1" t="s">
        <v>105</v>
      </c>
    </row>
    <row r="16" spans="1:12" x14ac:dyDescent="0.2">
      <c r="B16" s="1" t="s">
        <v>106</v>
      </c>
    </row>
    <row r="17" spans="2:2" x14ac:dyDescent="0.2">
      <c r="B17" s="1" t="s">
        <v>107</v>
      </c>
    </row>
    <row r="18" spans="2:2" x14ac:dyDescent="0.2">
      <c r="B18" s="1" t="s">
        <v>108</v>
      </c>
    </row>
    <row r="19" spans="2:2" x14ac:dyDescent="0.2">
      <c r="B19" s="1" t="s">
        <v>109</v>
      </c>
    </row>
  </sheetData>
  <mergeCells count="2">
    <mergeCell ref="C8:D8"/>
    <mergeCell ref="J4:L4"/>
  </mergeCells>
  <phoneticPr fontId="2"/>
  <pageMargins left="0.39370078740157483" right="0.39370078740157483" top="0.73" bottom="0.71" header="0.51181102362204722" footer="0.51181102362204722"/>
  <pageSetup paperSize="9" scale="88" orientation="landscape" horizontalDpi="4294967293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4:L19"/>
  <sheetViews>
    <sheetView workbookViewId="0">
      <selection activeCell="F11" sqref="F11"/>
    </sheetView>
  </sheetViews>
  <sheetFormatPr defaultColWidth="9" defaultRowHeight="13.2" x14ac:dyDescent="0.2"/>
  <cols>
    <col min="1" max="1" width="2.44140625" style="1" customWidth="1"/>
    <col min="2" max="2" width="17.109375" style="1" customWidth="1"/>
    <col min="3" max="3" width="28" style="1" customWidth="1"/>
    <col min="4" max="4" width="14.6640625" style="1" customWidth="1"/>
    <col min="5" max="5" width="3.33203125" style="2" bestFit="1" customWidth="1"/>
    <col min="6" max="6" width="15.33203125" style="1" customWidth="1"/>
    <col min="7" max="7" width="9" style="1"/>
    <col min="8" max="8" width="12.109375" style="1" customWidth="1"/>
    <col min="9" max="9" width="12.6640625" style="1" customWidth="1"/>
    <col min="10" max="10" width="15.109375" style="1" customWidth="1"/>
    <col min="11" max="11" width="15.33203125" style="1" customWidth="1"/>
    <col min="12" max="12" width="8.77734375" style="1" customWidth="1"/>
    <col min="13" max="16384" width="9" style="1"/>
  </cols>
  <sheetData>
    <row r="4" spans="1:12" x14ac:dyDescent="0.2">
      <c r="J4" s="209">
        <f ca="1">NOW()</f>
        <v>45651.359709837961</v>
      </c>
      <c r="K4" s="210"/>
      <c r="L4" s="210"/>
    </row>
    <row r="5" spans="1:12" ht="20.25" customHeight="1" x14ac:dyDescent="0.2">
      <c r="A5" s="34"/>
      <c r="B5" s="47"/>
      <c r="C5" s="47"/>
      <c r="D5" s="47"/>
      <c r="F5" s="34" t="s">
        <v>97</v>
      </c>
    </row>
    <row r="6" spans="1:12" ht="14.4" x14ac:dyDescent="0.2">
      <c r="B6" s="1" t="s">
        <v>98</v>
      </c>
      <c r="C6" s="27" t="s">
        <v>342</v>
      </c>
      <c r="E6" s="15"/>
      <c r="F6" s="14"/>
      <c r="G6" s="14"/>
    </row>
    <row r="7" spans="1:12" ht="14.4" x14ac:dyDescent="0.2">
      <c r="C7" s="27"/>
      <c r="E7" s="15"/>
      <c r="F7" s="14"/>
      <c r="G7" s="14"/>
    </row>
    <row r="8" spans="1:12" ht="46.5" customHeight="1" x14ac:dyDescent="0.2">
      <c r="A8" s="1" t="s">
        <v>50</v>
      </c>
      <c r="B8" s="1" t="s">
        <v>0</v>
      </c>
      <c r="C8" s="193" t="s">
        <v>99</v>
      </c>
      <c r="D8" s="208"/>
      <c r="E8" s="6" t="s">
        <v>110</v>
      </c>
      <c r="F8" s="35">
        <v>4000</v>
      </c>
      <c r="H8" s="1" t="s">
        <v>100</v>
      </c>
    </row>
    <row r="9" spans="1:12" ht="13.8" thickBot="1" x14ac:dyDescent="0.25">
      <c r="A9" s="1" t="s">
        <v>111</v>
      </c>
      <c r="B9" s="1" t="s">
        <v>31</v>
      </c>
      <c r="C9" s="16"/>
      <c r="E9" s="1"/>
    </row>
    <row r="10" spans="1:12" x14ac:dyDescent="0.2">
      <c r="B10" s="5" t="s">
        <v>12</v>
      </c>
      <c r="C10" s="5" t="s">
        <v>7</v>
      </c>
      <c r="D10" s="5" t="s">
        <v>20</v>
      </c>
      <c r="E10" s="6"/>
      <c r="F10" s="50" t="s">
        <v>48</v>
      </c>
      <c r="G10" s="26" t="s">
        <v>41</v>
      </c>
      <c r="H10" s="36" t="s">
        <v>127</v>
      </c>
      <c r="I10" s="37" t="s">
        <v>101</v>
      </c>
    </row>
    <row r="11" spans="1:12" ht="36.75" customHeight="1" x14ac:dyDescent="0.2">
      <c r="B11" s="5" t="s">
        <v>9</v>
      </c>
      <c r="C11" s="22" t="s">
        <v>253</v>
      </c>
      <c r="D11" s="23" t="s">
        <v>168</v>
      </c>
      <c r="E11" s="6" t="s">
        <v>8</v>
      </c>
      <c r="F11" s="51">
        <f>ROUNDUP(F8*1.2/18,0)</f>
        <v>267</v>
      </c>
      <c r="G11" s="49" t="s">
        <v>255</v>
      </c>
      <c r="H11" s="38"/>
      <c r="I11" s="39">
        <f>F11*H11</f>
        <v>0</v>
      </c>
    </row>
    <row r="12" spans="1:12" ht="29.25" customHeight="1" thickBot="1" x14ac:dyDescent="0.25">
      <c r="B12" s="5" t="s">
        <v>102</v>
      </c>
      <c r="C12" s="8" t="s">
        <v>114</v>
      </c>
      <c r="D12" s="5" t="s">
        <v>18</v>
      </c>
      <c r="E12" s="6" t="s">
        <v>8</v>
      </c>
      <c r="F12" s="52">
        <f>ROUNDUP(F8*1/20,0)</f>
        <v>200</v>
      </c>
      <c r="G12" s="49" t="s">
        <v>113</v>
      </c>
      <c r="H12" s="39"/>
      <c r="I12" s="39">
        <f>F12*H12</f>
        <v>0</v>
      </c>
    </row>
    <row r="13" spans="1:12" ht="32.25" customHeight="1" x14ac:dyDescent="0.2">
      <c r="H13" s="45" t="s">
        <v>128</v>
      </c>
      <c r="I13" s="44">
        <f>SUM(I11:I12)</f>
        <v>0</v>
      </c>
    </row>
    <row r="14" spans="1:12" ht="21" customHeight="1" x14ac:dyDescent="0.2">
      <c r="B14" s="1" t="s">
        <v>104</v>
      </c>
      <c r="H14" s="45" t="s">
        <v>129</v>
      </c>
      <c r="I14" s="48">
        <f>I13/F8</f>
        <v>0</v>
      </c>
      <c r="J14" s="1" t="s">
        <v>182</v>
      </c>
    </row>
    <row r="15" spans="1:12" x14ac:dyDescent="0.2">
      <c r="B15" s="1" t="s">
        <v>105</v>
      </c>
    </row>
    <row r="16" spans="1:12" x14ac:dyDescent="0.2">
      <c r="B16" s="1" t="s">
        <v>106</v>
      </c>
    </row>
    <row r="17" spans="2:2" x14ac:dyDescent="0.2">
      <c r="B17" s="1" t="s">
        <v>107</v>
      </c>
    </row>
    <row r="18" spans="2:2" x14ac:dyDescent="0.2">
      <c r="B18" s="1" t="s">
        <v>108</v>
      </c>
    </row>
    <row r="19" spans="2:2" x14ac:dyDescent="0.2">
      <c r="B19" s="1" t="s">
        <v>109</v>
      </c>
    </row>
  </sheetData>
  <mergeCells count="2">
    <mergeCell ref="C8:D8"/>
    <mergeCell ref="J4:L4"/>
  </mergeCells>
  <phoneticPr fontId="2"/>
  <pageMargins left="0.39370078740157483" right="0.39370078740157483" top="0.73" bottom="0.71" header="0.51181102362204722" footer="0.51181102362204722"/>
  <pageSetup paperSize="9" scale="88" orientation="landscape" horizontalDpi="4294967293" verticalDpi="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4:L20"/>
  <sheetViews>
    <sheetView workbookViewId="0">
      <selection activeCell="F9" sqref="F9"/>
    </sheetView>
  </sheetViews>
  <sheetFormatPr defaultColWidth="9" defaultRowHeight="13.2" x14ac:dyDescent="0.2"/>
  <cols>
    <col min="1" max="1" width="2.44140625" style="1" customWidth="1"/>
    <col min="2" max="2" width="17.109375" style="1" customWidth="1"/>
    <col min="3" max="3" width="28" style="1" customWidth="1"/>
    <col min="4" max="4" width="14.6640625" style="1" customWidth="1"/>
    <col min="5" max="5" width="3.33203125" style="2" bestFit="1" customWidth="1"/>
    <col min="6" max="6" width="15.33203125" style="1" customWidth="1"/>
    <col min="7" max="7" width="9" style="1"/>
    <col min="8" max="8" width="12.109375" style="1" customWidth="1"/>
    <col min="9" max="9" width="12.6640625" style="1" customWidth="1"/>
    <col min="10" max="10" width="15.109375" style="1" customWidth="1"/>
    <col min="11" max="11" width="15.33203125" style="1" customWidth="1"/>
    <col min="12" max="12" width="8.77734375" style="1" customWidth="1"/>
    <col min="13" max="16384" width="9" style="1"/>
  </cols>
  <sheetData>
    <row r="4" spans="1:12" x14ac:dyDescent="0.2">
      <c r="J4" s="209">
        <f ca="1">NOW()</f>
        <v>45651.359709837961</v>
      </c>
      <c r="K4" s="210"/>
      <c r="L4" s="210"/>
    </row>
    <row r="5" spans="1:12" ht="20.25" customHeight="1" x14ac:dyDescent="0.2">
      <c r="A5" s="34"/>
      <c r="B5" s="47"/>
      <c r="C5" s="47"/>
      <c r="D5" s="47"/>
      <c r="F5" s="34" t="s">
        <v>97</v>
      </c>
    </row>
    <row r="6" spans="1:12" ht="14.4" x14ac:dyDescent="0.2">
      <c r="B6" s="1" t="s">
        <v>98</v>
      </c>
      <c r="C6" s="27" t="s">
        <v>370</v>
      </c>
      <c r="E6" s="15"/>
      <c r="F6" s="14"/>
      <c r="G6" s="14"/>
    </row>
    <row r="7" spans="1:12" ht="14.4" x14ac:dyDescent="0.2">
      <c r="C7" s="27"/>
      <c r="E7" s="15"/>
      <c r="F7" s="14"/>
      <c r="G7" s="14"/>
    </row>
    <row r="8" spans="1:12" ht="46.5" customHeight="1" x14ac:dyDescent="0.2">
      <c r="A8" s="1" t="s">
        <v>50</v>
      </c>
      <c r="B8" s="1" t="s">
        <v>0</v>
      </c>
      <c r="C8" s="193" t="s">
        <v>99</v>
      </c>
      <c r="D8" s="208"/>
      <c r="E8" s="6" t="s">
        <v>110</v>
      </c>
      <c r="F8" s="35">
        <v>4000</v>
      </c>
      <c r="H8" s="1" t="s">
        <v>100</v>
      </c>
    </row>
    <row r="9" spans="1:12" ht="13.8" thickBot="1" x14ac:dyDescent="0.25">
      <c r="A9" s="1" t="s">
        <v>111</v>
      </c>
      <c r="B9" s="1" t="s">
        <v>31</v>
      </c>
      <c r="C9" s="16"/>
      <c r="E9" s="1"/>
    </row>
    <row r="10" spans="1:12" x14ac:dyDescent="0.2">
      <c r="B10" s="5" t="s">
        <v>12</v>
      </c>
      <c r="C10" s="5" t="s">
        <v>7</v>
      </c>
      <c r="D10" s="5" t="s">
        <v>20</v>
      </c>
      <c r="E10" s="6"/>
      <c r="F10" s="50" t="s">
        <v>48</v>
      </c>
      <c r="G10" s="26" t="s">
        <v>41</v>
      </c>
      <c r="H10" s="36" t="s">
        <v>127</v>
      </c>
      <c r="I10" s="37" t="s">
        <v>101</v>
      </c>
      <c r="J10" s="5" t="s">
        <v>289</v>
      </c>
    </row>
    <row r="11" spans="1:12" ht="21" customHeight="1" x14ac:dyDescent="0.2">
      <c r="B11" s="5" t="s">
        <v>9</v>
      </c>
      <c r="C11" s="22" t="s">
        <v>256</v>
      </c>
      <c r="D11" s="23" t="s">
        <v>168</v>
      </c>
      <c r="E11" s="6" t="s">
        <v>8</v>
      </c>
      <c r="F11" s="64">
        <f>ROUNDUP(F8*1.2/18,0)</f>
        <v>267</v>
      </c>
      <c r="G11" s="49" t="s">
        <v>257</v>
      </c>
      <c r="H11" s="38"/>
      <c r="I11" s="39">
        <f>F11*H11</f>
        <v>0</v>
      </c>
      <c r="J11" s="3"/>
    </row>
    <row r="12" spans="1:12" ht="21" customHeight="1" x14ac:dyDescent="0.2">
      <c r="B12" s="5" t="s">
        <v>270</v>
      </c>
      <c r="C12" s="8" t="s">
        <v>275</v>
      </c>
      <c r="D12" s="5" t="s">
        <v>258</v>
      </c>
      <c r="E12" s="6" t="s">
        <v>8</v>
      </c>
      <c r="F12" s="64">
        <f>ROUNDUP(F8*0.5/20,0)</f>
        <v>100</v>
      </c>
      <c r="G12" s="49" t="s">
        <v>259</v>
      </c>
      <c r="H12" s="39"/>
      <c r="I12" s="39">
        <f>F12*H12</f>
        <v>0</v>
      </c>
      <c r="J12" s="175" t="s">
        <v>278</v>
      </c>
    </row>
    <row r="13" spans="1:12" ht="21" customHeight="1" thickBot="1" x14ac:dyDescent="0.25">
      <c r="B13" s="5" t="s">
        <v>272</v>
      </c>
      <c r="C13" s="8" t="s">
        <v>276</v>
      </c>
      <c r="D13" s="5" t="s">
        <v>258</v>
      </c>
      <c r="E13" s="6" t="s">
        <v>8</v>
      </c>
      <c r="F13" s="52">
        <f>ROUNDUP(F8*0.8/20,0)</f>
        <v>160</v>
      </c>
      <c r="G13" s="49" t="s">
        <v>277</v>
      </c>
      <c r="H13" s="39"/>
      <c r="I13" s="39">
        <f>F13*H13</f>
        <v>0</v>
      </c>
      <c r="J13" s="175"/>
    </row>
    <row r="14" spans="1:12" ht="32.25" customHeight="1" x14ac:dyDescent="0.2">
      <c r="H14" s="45" t="s">
        <v>128</v>
      </c>
      <c r="I14" s="44">
        <f>SUM(I11:I13)</f>
        <v>0</v>
      </c>
    </row>
    <row r="15" spans="1:12" ht="21" customHeight="1" x14ac:dyDescent="0.2">
      <c r="B15" s="1" t="s">
        <v>104</v>
      </c>
      <c r="H15" s="45" t="s">
        <v>129</v>
      </c>
      <c r="I15" s="48">
        <f>I14/F8</f>
        <v>0</v>
      </c>
      <c r="J15" s="1" t="s">
        <v>182</v>
      </c>
    </row>
    <row r="16" spans="1:12" x14ac:dyDescent="0.2">
      <c r="B16" s="1" t="s">
        <v>105</v>
      </c>
    </row>
    <row r="17" spans="2:2" x14ac:dyDescent="0.2">
      <c r="B17" s="1" t="s">
        <v>106</v>
      </c>
    </row>
    <row r="18" spans="2:2" x14ac:dyDescent="0.2">
      <c r="B18" s="1" t="s">
        <v>107</v>
      </c>
    </row>
    <row r="19" spans="2:2" x14ac:dyDescent="0.2">
      <c r="B19" s="1" t="s">
        <v>108</v>
      </c>
    </row>
    <row r="20" spans="2:2" x14ac:dyDescent="0.2">
      <c r="B20" s="1" t="s">
        <v>109</v>
      </c>
    </row>
  </sheetData>
  <mergeCells count="3">
    <mergeCell ref="C8:D8"/>
    <mergeCell ref="J4:L4"/>
    <mergeCell ref="J12:J13"/>
  </mergeCells>
  <phoneticPr fontId="2"/>
  <pageMargins left="0.39370078740157483" right="0.39370078740157483" top="0.73" bottom="0.71" header="0.51181102362204722" footer="0.51181102362204722"/>
  <pageSetup paperSize="9" scale="88" orientation="landscape" horizontalDpi="4294967293" verticalDpi="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4:L20"/>
  <sheetViews>
    <sheetView workbookViewId="0">
      <selection activeCell="F9" sqref="F9"/>
    </sheetView>
  </sheetViews>
  <sheetFormatPr defaultColWidth="9" defaultRowHeight="13.2" x14ac:dyDescent="0.2"/>
  <cols>
    <col min="1" max="1" width="2.44140625" style="1" customWidth="1"/>
    <col min="2" max="2" width="17.109375" style="1" customWidth="1"/>
    <col min="3" max="3" width="28" style="1" customWidth="1"/>
    <col min="4" max="4" width="14.6640625" style="1" customWidth="1"/>
    <col min="5" max="5" width="3.33203125" style="2" bestFit="1" customWidth="1"/>
    <col min="6" max="6" width="15.33203125" style="1" customWidth="1"/>
    <col min="7" max="7" width="9" style="1"/>
    <col min="8" max="8" width="12.109375" style="1" customWidth="1"/>
    <col min="9" max="9" width="12.6640625" style="1" customWidth="1"/>
    <col min="10" max="10" width="15.109375" style="1" customWidth="1"/>
    <col min="11" max="11" width="15.33203125" style="1" customWidth="1"/>
    <col min="12" max="12" width="8.77734375" style="1" customWidth="1"/>
    <col min="13" max="16384" width="9" style="1"/>
  </cols>
  <sheetData>
    <row r="4" spans="1:12" x14ac:dyDescent="0.2">
      <c r="J4" s="209">
        <f ca="1">NOW()</f>
        <v>45651.359709837961</v>
      </c>
      <c r="K4" s="210"/>
      <c r="L4" s="210"/>
    </row>
    <row r="5" spans="1:12" ht="20.25" customHeight="1" x14ac:dyDescent="0.2">
      <c r="A5" s="34"/>
      <c r="B5" s="47"/>
      <c r="C5" s="47"/>
      <c r="D5" s="47"/>
      <c r="F5" s="34" t="s">
        <v>97</v>
      </c>
    </row>
    <row r="6" spans="1:12" ht="14.4" x14ac:dyDescent="0.2">
      <c r="B6" s="1" t="s">
        <v>98</v>
      </c>
      <c r="C6" s="27" t="s">
        <v>343</v>
      </c>
      <c r="E6" s="15"/>
      <c r="F6" s="14"/>
      <c r="G6" s="14"/>
    </row>
    <row r="7" spans="1:12" ht="14.4" x14ac:dyDescent="0.2">
      <c r="C7" s="27"/>
      <c r="E7" s="15"/>
      <c r="F7" s="14"/>
      <c r="G7" s="14"/>
    </row>
    <row r="8" spans="1:12" ht="46.5" customHeight="1" x14ac:dyDescent="0.2">
      <c r="A8" s="1" t="s">
        <v>236</v>
      </c>
      <c r="B8" s="1" t="s">
        <v>0</v>
      </c>
      <c r="C8" s="193" t="s">
        <v>99</v>
      </c>
      <c r="D8" s="208"/>
      <c r="E8" s="6" t="s">
        <v>110</v>
      </c>
      <c r="F8" s="35">
        <v>4000</v>
      </c>
      <c r="H8" s="1" t="s">
        <v>100</v>
      </c>
    </row>
    <row r="9" spans="1:12" ht="13.8" thickBot="1" x14ac:dyDescent="0.25">
      <c r="A9" s="1" t="s">
        <v>111</v>
      </c>
      <c r="B9" s="1" t="s">
        <v>31</v>
      </c>
      <c r="C9" s="16"/>
      <c r="E9" s="1"/>
    </row>
    <row r="10" spans="1:12" x14ac:dyDescent="0.2">
      <c r="B10" s="5" t="s">
        <v>12</v>
      </c>
      <c r="C10" s="5" t="s">
        <v>7</v>
      </c>
      <c r="D10" s="5" t="s">
        <v>20</v>
      </c>
      <c r="E10" s="6"/>
      <c r="F10" s="50" t="s">
        <v>48</v>
      </c>
      <c r="G10" s="26" t="s">
        <v>41</v>
      </c>
      <c r="H10" s="36" t="s">
        <v>127</v>
      </c>
      <c r="I10" s="37" t="s">
        <v>101</v>
      </c>
    </row>
    <row r="11" spans="1:12" ht="27.75" customHeight="1" x14ac:dyDescent="0.2">
      <c r="B11" s="5" t="s">
        <v>9</v>
      </c>
      <c r="C11" s="22" t="s">
        <v>256</v>
      </c>
      <c r="D11" s="23" t="s">
        <v>168</v>
      </c>
      <c r="E11" s="6" t="s">
        <v>8</v>
      </c>
      <c r="F11" s="51">
        <f>ROUNDUP(F8*1.2/18,0)</f>
        <v>267</v>
      </c>
      <c r="G11" s="49" t="s">
        <v>257</v>
      </c>
      <c r="H11" s="139"/>
      <c r="I11" s="39">
        <f>F11*H11</f>
        <v>0</v>
      </c>
    </row>
    <row r="12" spans="1:12" ht="27.75" customHeight="1" x14ac:dyDescent="0.2">
      <c r="B12" s="5" t="s">
        <v>231</v>
      </c>
      <c r="C12" s="8" t="s">
        <v>331</v>
      </c>
      <c r="D12" s="5" t="s">
        <v>258</v>
      </c>
      <c r="E12" s="6" t="s">
        <v>8</v>
      </c>
      <c r="F12" s="64">
        <f>ROUNDUP(F8*0.5/20,0)</f>
        <v>100</v>
      </c>
      <c r="G12" s="49" t="s">
        <v>267</v>
      </c>
      <c r="H12" s="139"/>
      <c r="I12" s="39">
        <f>F12*H12</f>
        <v>0</v>
      </c>
    </row>
    <row r="13" spans="1:12" ht="27.75" customHeight="1" thickBot="1" x14ac:dyDescent="0.25">
      <c r="B13" s="5" t="s">
        <v>268</v>
      </c>
      <c r="C13" s="8" t="s">
        <v>330</v>
      </c>
      <c r="D13" s="5" t="s">
        <v>269</v>
      </c>
      <c r="E13" s="6" t="s">
        <v>8</v>
      </c>
      <c r="F13" s="140">
        <f>ROUNDUP(F8*0.3/16,0)</f>
        <v>75</v>
      </c>
      <c r="G13" s="166" t="s">
        <v>329</v>
      </c>
      <c r="H13" s="39"/>
      <c r="I13" s="39">
        <f>F13*H13</f>
        <v>0</v>
      </c>
    </row>
    <row r="14" spans="1:12" ht="32.25" customHeight="1" x14ac:dyDescent="0.2">
      <c r="H14" s="45" t="s">
        <v>128</v>
      </c>
      <c r="I14" s="44">
        <f>SUM(I11:I13)</f>
        <v>0</v>
      </c>
    </row>
    <row r="15" spans="1:12" ht="21" customHeight="1" x14ac:dyDescent="0.2">
      <c r="B15" s="1" t="s">
        <v>104</v>
      </c>
      <c r="H15" s="45" t="s">
        <v>129</v>
      </c>
      <c r="I15" s="48">
        <f>I14/F8</f>
        <v>0</v>
      </c>
      <c r="J15" s="1" t="s">
        <v>182</v>
      </c>
    </row>
    <row r="16" spans="1:12" x14ac:dyDescent="0.2">
      <c r="B16" s="1" t="s">
        <v>105</v>
      </c>
    </row>
    <row r="17" spans="2:2" x14ac:dyDescent="0.2">
      <c r="B17" s="1" t="s">
        <v>106</v>
      </c>
    </row>
    <row r="18" spans="2:2" x14ac:dyDescent="0.2">
      <c r="B18" s="1" t="s">
        <v>107</v>
      </c>
    </row>
    <row r="19" spans="2:2" x14ac:dyDescent="0.2">
      <c r="B19" s="1" t="s">
        <v>108</v>
      </c>
    </row>
    <row r="20" spans="2:2" x14ac:dyDescent="0.2">
      <c r="B20" s="1" t="s">
        <v>109</v>
      </c>
    </row>
  </sheetData>
  <mergeCells count="2">
    <mergeCell ref="C8:D8"/>
    <mergeCell ref="J4:L4"/>
  </mergeCells>
  <phoneticPr fontId="2"/>
  <pageMargins left="0.39370078740157483" right="0.39370078740157483" top="0.73" bottom="0.71" header="0.51181102362204722" footer="0.51181102362204722"/>
  <pageSetup paperSize="9" scale="88" orientation="landscape" horizontalDpi="4294967293" verticalDpi="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1"/>
  <dimension ref="A4:L21"/>
  <sheetViews>
    <sheetView workbookViewId="0">
      <selection activeCell="F11" sqref="F11"/>
    </sheetView>
  </sheetViews>
  <sheetFormatPr defaultColWidth="9" defaultRowHeight="13.2" x14ac:dyDescent="0.2"/>
  <cols>
    <col min="1" max="1" width="2.44140625" style="1" customWidth="1"/>
    <col min="2" max="2" width="17.6640625" style="1" customWidth="1"/>
    <col min="3" max="3" width="26.44140625" style="1" customWidth="1"/>
    <col min="4" max="4" width="14.21875" style="1" customWidth="1"/>
    <col min="5" max="5" width="3.33203125" style="2" bestFit="1" customWidth="1"/>
    <col min="6" max="6" width="15.33203125" style="1" customWidth="1"/>
    <col min="7" max="7" width="9" style="1"/>
    <col min="8" max="8" width="12.109375" style="1" customWidth="1"/>
    <col min="9" max="9" width="12.6640625" style="1" customWidth="1"/>
    <col min="10" max="10" width="15.109375" style="1" customWidth="1"/>
    <col min="11" max="11" width="15.33203125" style="1" customWidth="1"/>
    <col min="12" max="12" width="8.77734375" style="1" customWidth="1"/>
    <col min="13" max="16384" width="9" style="1"/>
  </cols>
  <sheetData>
    <row r="4" spans="1:12" x14ac:dyDescent="0.2">
      <c r="J4" s="209">
        <f ca="1">NOW()</f>
        <v>45651.359709837961</v>
      </c>
      <c r="K4" s="210"/>
      <c r="L4" s="210"/>
    </row>
    <row r="5" spans="1:12" ht="20.25" customHeight="1" x14ac:dyDescent="0.2">
      <c r="A5" s="34"/>
      <c r="B5" s="47"/>
      <c r="C5" s="47"/>
      <c r="D5" s="47"/>
      <c r="F5" s="34" t="s">
        <v>97</v>
      </c>
    </row>
    <row r="6" spans="1:12" ht="14.4" x14ac:dyDescent="0.2">
      <c r="B6" s="1" t="s">
        <v>98</v>
      </c>
      <c r="C6" s="27" t="s">
        <v>130</v>
      </c>
      <c r="E6" s="15"/>
      <c r="F6" s="14" t="s">
        <v>344</v>
      </c>
      <c r="G6" s="14"/>
    </row>
    <row r="7" spans="1:12" ht="14.4" x14ac:dyDescent="0.2">
      <c r="C7" s="27"/>
      <c r="E7" s="15"/>
      <c r="F7" s="14"/>
      <c r="G7" s="14"/>
    </row>
    <row r="8" spans="1:12" ht="46.5" customHeight="1" x14ac:dyDescent="0.2">
      <c r="A8" s="1" t="s">
        <v>50</v>
      </c>
      <c r="B8" s="1" t="s">
        <v>0</v>
      </c>
      <c r="C8" s="193" t="s">
        <v>131</v>
      </c>
      <c r="D8" s="208"/>
      <c r="E8" s="6" t="s">
        <v>110</v>
      </c>
      <c r="F8" s="35">
        <v>1000</v>
      </c>
    </row>
    <row r="9" spans="1:12" x14ac:dyDescent="0.2">
      <c r="A9" s="1" t="s">
        <v>111</v>
      </c>
      <c r="B9" s="1" t="s">
        <v>31</v>
      </c>
      <c r="C9" s="16"/>
      <c r="E9" s="1"/>
    </row>
    <row r="10" spans="1:12" x14ac:dyDescent="0.2">
      <c r="B10" s="5" t="s">
        <v>12</v>
      </c>
      <c r="C10" s="5" t="s">
        <v>7</v>
      </c>
      <c r="D10" s="5" t="s">
        <v>20</v>
      </c>
      <c r="E10" s="6"/>
      <c r="F10" s="12" t="s">
        <v>48</v>
      </c>
      <c r="G10" s="5" t="s">
        <v>41</v>
      </c>
      <c r="H10" s="36" t="s">
        <v>127</v>
      </c>
      <c r="I10" s="37" t="s">
        <v>101</v>
      </c>
      <c r="J10" s="5" t="s">
        <v>289</v>
      </c>
    </row>
    <row r="11" spans="1:12" ht="45.75" customHeight="1" x14ac:dyDescent="0.2">
      <c r="B11" s="55" t="s">
        <v>9</v>
      </c>
      <c r="C11" s="22" t="s">
        <v>112</v>
      </c>
      <c r="D11" s="23" t="s">
        <v>168</v>
      </c>
      <c r="E11" s="58" t="s">
        <v>8</v>
      </c>
      <c r="F11" s="149">
        <f>ROUNDUP(F8*2/18,0)</f>
        <v>112</v>
      </c>
      <c r="G11" s="153" t="s">
        <v>42</v>
      </c>
      <c r="H11" s="139"/>
      <c r="I11" s="39">
        <f>F11*H11</f>
        <v>0</v>
      </c>
      <c r="J11" s="173" t="s">
        <v>290</v>
      </c>
    </row>
    <row r="12" spans="1:12" ht="30.75" customHeight="1" thickBot="1" x14ac:dyDescent="0.25">
      <c r="B12" s="144" t="s">
        <v>287</v>
      </c>
      <c r="C12" s="22"/>
      <c r="D12" s="144" t="s">
        <v>286</v>
      </c>
      <c r="E12" s="6" t="s">
        <v>288</v>
      </c>
      <c r="F12" s="155">
        <f>ROUNDUP(F8*2/23,0)</f>
        <v>87</v>
      </c>
      <c r="G12" s="154"/>
      <c r="H12" s="139"/>
      <c r="I12" s="39">
        <f>F12*H12</f>
        <v>0</v>
      </c>
      <c r="J12" s="174"/>
    </row>
    <row r="13" spans="1:12" ht="27" customHeight="1" x14ac:dyDescent="0.2">
      <c r="B13" s="70" t="s">
        <v>102</v>
      </c>
      <c r="C13" s="71" t="s">
        <v>114</v>
      </c>
      <c r="D13" s="72" t="s">
        <v>18</v>
      </c>
      <c r="E13" s="72" t="s">
        <v>8</v>
      </c>
      <c r="F13" s="73">
        <f>ROUNDUP(F8*1/20,0)</f>
        <v>50</v>
      </c>
      <c r="G13" s="150" t="s">
        <v>113</v>
      </c>
      <c r="H13" s="151"/>
      <c r="I13" s="152">
        <f>F13*H13</f>
        <v>0</v>
      </c>
      <c r="J13" s="211" t="s">
        <v>295</v>
      </c>
    </row>
    <row r="14" spans="1:12" ht="27" customHeight="1" x14ac:dyDescent="0.2">
      <c r="B14" s="74" t="s">
        <v>231</v>
      </c>
      <c r="C14" s="75" t="s">
        <v>232</v>
      </c>
      <c r="D14" s="76" t="s">
        <v>233</v>
      </c>
      <c r="E14" s="76" t="s">
        <v>8</v>
      </c>
      <c r="F14" s="77">
        <f>ROUNDUP(F8*0.5/20,0)</f>
        <v>25</v>
      </c>
      <c r="G14" s="78" t="s">
        <v>234</v>
      </c>
      <c r="H14" s="79"/>
      <c r="I14" s="80">
        <f>F14*H14</f>
        <v>0</v>
      </c>
      <c r="J14" s="208"/>
    </row>
    <row r="15" spans="1:12" ht="27" customHeight="1" thickBot="1" x14ac:dyDescent="0.25">
      <c r="B15" s="81" t="s">
        <v>103</v>
      </c>
      <c r="C15" s="82" t="s">
        <v>230</v>
      </c>
      <c r="D15" s="83" t="s">
        <v>19</v>
      </c>
      <c r="E15" s="83" t="s">
        <v>8</v>
      </c>
      <c r="F15" s="84">
        <f>ROUNDUP(F8*0.5/15,0)</f>
        <v>34</v>
      </c>
      <c r="G15" s="85" t="s">
        <v>167</v>
      </c>
      <c r="H15" s="86"/>
      <c r="I15" s="87">
        <f>F15*H15</f>
        <v>0</v>
      </c>
      <c r="J15" s="208"/>
    </row>
    <row r="16" spans="1:12" ht="32.25" customHeight="1" x14ac:dyDescent="0.2">
      <c r="H16" s="56" t="s">
        <v>128</v>
      </c>
      <c r="I16" s="57">
        <f>SUM(I11:I15)</f>
        <v>0</v>
      </c>
    </row>
    <row r="17" spans="2:10" ht="21" customHeight="1" x14ac:dyDescent="0.2">
      <c r="H17" s="45" t="s">
        <v>129</v>
      </c>
      <c r="I17" s="46">
        <f>I16/F8</f>
        <v>0</v>
      </c>
      <c r="J17" s="1" t="s">
        <v>182</v>
      </c>
    </row>
    <row r="20" spans="2:10" x14ac:dyDescent="0.2">
      <c r="B20" s="1" t="s">
        <v>132</v>
      </c>
    </row>
    <row r="21" spans="2:10" x14ac:dyDescent="0.2">
      <c r="B21" s="1" t="s">
        <v>133</v>
      </c>
    </row>
  </sheetData>
  <mergeCells count="4">
    <mergeCell ref="C8:D8"/>
    <mergeCell ref="J13:J15"/>
    <mergeCell ref="J4:L4"/>
    <mergeCell ref="J11:J12"/>
  </mergeCells>
  <phoneticPr fontId="2"/>
  <pageMargins left="0.39370078740157483" right="0.39370078740157483" top="0.73" bottom="0.71" header="0.51181102362204722" footer="0.51181102362204722"/>
  <pageSetup paperSize="9" scale="88" orientation="landscape" horizontalDpi="4294967293" verticalDpi="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2"/>
  <dimension ref="A4:K24"/>
  <sheetViews>
    <sheetView workbookViewId="0">
      <selection activeCell="H12" sqref="H12"/>
    </sheetView>
  </sheetViews>
  <sheetFormatPr defaultColWidth="9" defaultRowHeight="13.2" x14ac:dyDescent="0.2"/>
  <cols>
    <col min="1" max="1" width="3.6640625" style="1" customWidth="1"/>
    <col min="2" max="2" width="21.109375" style="1" customWidth="1"/>
    <col min="3" max="3" width="24.6640625" style="1" customWidth="1"/>
    <col min="4" max="4" width="20.88671875" style="1" customWidth="1"/>
    <col min="5" max="5" width="3.33203125" style="2" bestFit="1" customWidth="1"/>
    <col min="6" max="6" width="13.77734375" style="1" customWidth="1"/>
    <col min="7" max="7" width="16.44140625" style="1" customWidth="1"/>
    <col min="8" max="8" width="11.33203125" style="1" customWidth="1"/>
    <col min="9" max="9" width="11.21875" style="1" customWidth="1"/>
    <col min="10" max="10" width="10.6640625" style="1" customWidth="1"/>
    <col min="11" max="11" width="12.88671875" style="1" customWidth="1"/>
    <col min="12" max="16384" width="9" style="1"/>
  </cols>
  <sheetData>
    <row r="4" spans="1:11" ht="27" customHeight="1" x14ac:dyDescent="0.2">
      <c r="B4" s="1" t="s">
        <v>159</v>
      </c>
      <c r="C4" s="1" t="s">
        <v>160</v>
      </c>
    </row>
    <row r="5" spans="1:11" x14ac:dyDescent="0.2">
      <c r="B5" s="14" t="s">
        <v>158</v>
      </c>
      <c r="C5" s="14"/>
      <c r="D5" s="14"/>
      <c r="E5" s="15"/>
      <c r="F5" s="14"/>
    </row>
    <row r="6" spans="1:11" ht="24.75" customHeight="1" x14ac:dyDescent="0.2">
      <c r="C6" s="1" t="s">
        <v>161</v>
      </c>
    </row>
    <row r="7" spans="1:11" ht="13.8" thickBot="1" x14ac:dyDescent="0.25">
      <c r="A7" s="1" t="s">
        <v>116</v>
      </c>
      <c r="B7" s="1" t="s">
        <v>0</v>
      </c>
      <c r="C7" s="16" t="s">
        <v>59</v>
      </c>
    </row>
    <row r="8" spans="1:11" ht="19.5" customHeight="1" x14ac:dyDescent="0.2">
      <c r="F8" s="7" t="s">
        <v>34</v>
      </c>
    </row>
    <row r="9" spans="1:11" ht="18" customHeight="1" x14ac:dyDescent="0.2">
      <c r="C9" s="3" t="s">
        <v>1</v>
      </c>
      <c r="D9" s="4" t="s">
        <v>51</v>
      </c>
      <c r="E9" s="6" t="s">
        <v>52</v>
      </c>
      <c r="F9" s="9">
        <v>300</v>
      </c>
    </row>
    <row r="10" spans="1:11" ht="18" customHeight="1" x14ac:dyDescent="0.2">
      <c r="C10" s="3" t="s">
        <v>2</v>
      </c>
      <c r="D10" s="4" t="s">
        <v>53</v>
      </c>
      <c r="E10" s="6" t="s">
        <v>52</v>
      </c>
      <c r="F10" s="9">
        <v>100</v>
      </c>
    </row>
    <row r="11" spans="1:11" ht="18" customHeight="1" x14ac:dyDescent="0.2">
      <c r="C11" s="3" t="s">
        <v>14</v>
      </c>
      <c r="D11" s="4"/>
      <c r="E11" s="6" t="s">
        <v>16</v>
      </c>
      <c r="F11" s="10">
        <v>0.5</v>
      </c>
    </row>
    <row r="12" spans="1:11" ht="18" customHeight="1" x14ac:dyDescent="0.2">
      <c r="C12" s="3" t="s">
        <v>15</v>
      </c>
      <c r="D12" s="4"/>
      <c r="E12" s="6" t="s">
        <v>16</v>
      </c>
      <c r="F12" s="10">
        <f>F10/F11</f>
        <v>200</v>
      </c>
    </row>
    <row r="13" spans="1:11" ht="18" customHeight="1" thickBot="1" x14ac:dyDescent="0.25">
      <c r="C13" s="3" t="s">
        <v>28</v>
      </c>
      <c r="D13" s="4" t="s">
        <v>54</v>
      </c>
      <c r="E13" s="6" t="s">
        <v>55</v>
      </c>
      <c r="F13" s="11">
        <f>F9+F10</f>
        <v>400</v>
      </c>
    </row>
    <row r="14" spans="1:11" ht="13.8" thickBot="1" x14ac:dyDescent="0.25"/>
    <row r="15" spans="1:11" ht="27.75" customHeight="1" x14ac:dyDescent="0.2">
      <c r="A15" s="1" t="s">
        <v>56</v>
      </c>
      <c r="B15" s="1" t="s">
        <v>31</v>
      </c>
      <c r="C15" s="16" t="s">
        <v>36</v>
      </c>
      <c r="F15" s="6"/>
      <c r="G15" s="7" t="s">
        <v>35</v>
      </c>
    </row>
    <row r="16" spans="1:11" x14ac:dyDescent="0.2">
      <c r="B16" s="5" t="s">
        <v>12</v>
      </c>
      <c r="C16" s="5" t="s">
        <v>7</v>
      </c>
      <c r="D16" s="5" t="s">
        <v>20</v>
      </c>
      <c r="E16" s="6"/>
      <c r="F16" s="6" t="s">
        <v>181</v>
      </c>
      <c r="G16" s="29" t="s">
        <v>48</v>
      </c>
      <c r="H16" s="26" t="s">
        <v>41</v>
      </c>
      <c r="I16" s="36" t="s">
        <v>127</v>
      </c>
      <c r="J16" s="37" t="s">
        <v>101</v>
      </c>
      <c r="K16" s="5" t="s">
        <v>289</v>
      </c>
    </row>
    <row r="17" spans="2:11" ht="17.25" customHeight="1" x14ac:dyDescent="0.2">
      <c r="B17" s="173" t="s">
        <v>60</v>
      </c>
      <c r="C17" s="176" t="s">
        <v>174</v>
      </c>
      <c r="D17" s="55" t="s">
        <v>291</v>
      </c>
      <c r="E17" s="6" t="s">
        <v>8</v>
      </c>
      <c r="F17" s="62">
        <f>ROUNDUP(F13*0.2/2,0)</f>
        <v>40</v>
      </c>
      <c r="G17" s="63" t="s">
        <v>179</v>
      </c>
      <c r="H17" s="26" t="s">
        <v>61</v>
      </c>
      <c r="I17" s="60"/>
      <c r="J17" s="61" t="s">
        <v>180</v>
      </c>
      <c r="K17" s="175" t="s">
        <v>290</v>
      </c>
    </row>
    <row r="18" spans="2:11" ht="17.25" customHeight="1" x14ac:dyDescent="0.2">
      <c r="B18" s="174"/>
      <c r="C18" s="177"/>
      <c r="D18" s="147" t="s">
        <v>292</v>
      </c>
      <c r="E18" s="143" t="s">
        <v>288</v>
      </c>
      <c r="F18" s="142">
        <f>ROUNDUP(F13*0.2/10,0)</f>
        <v>8</v>
      </c>
      <c r="G18" s="148">
        <f>F18</f>
        <v>8</v>
      </c>
      <c r="H18" s="26" t="s">
        <v>61</v>
      </c>
      <c r="I18" s="141"/>
      <c r="J18" s="39">
        <f>G18*I18</f>
        <v>0</v>
      </c>
      <c r="K18" s="175"/>
    </row>
    <row r="19" spans="2:11" ht="17.25" customHeight="1" x14ac:dyDescent="0.2">
      <c r="B19" s="5" t="s">
        <v>9</v>
      </c>
      <c r="C19" s="176" t="s">
        <v>24</v>
      </c>
      <c r="D19" s="175" t="s">
        <v>168</v>
      </c>
      <c r="E19" s="6" t="s">
        <v>8</v>
      </c>
      <c r="F19" s="17">
        <f>F13*2/18</f>
        <v>44.444444444444443</v>
      </c>
      <c r="G19" s="180">
        <f>ROUNDUP(F19+F20,0)</f>
        <v>47</v>
      </c>
      <c r="H19" s="69" t="s">
        <v>42</v>
      </c>
      <c r="I19" s="182"/>
      <c r="J19" s="178">
        <f>G19*I19</f>
        <v>0</v>
      </c>
      <c r="K19" s="175" t="s">
        <v>290</v>
      </c>
    </row>
    <row r="20" spans="2:11" ht="17.25" customHeight="1" x14ac:dyDescent="0.2">
      <c r="B20" s="5" t="s">
        <v>23</v>
      </c>
      <c r="C20" s="183"/>
      <c r="D20" s="175"/>
      <c r="E20" s="6" t="s">
        <v>8</v>
      </c>
      <c r="F20" s="17">
        <f>F12*0.2*1/18</f>
        <v>2.2222222222222223</v>
      </c>
      <c r="G20" s="181"/>
      <c r="H20" s="26" t="s">
        <v>73</v>
      </c>
      <c r="I20" s="182"/>
      <c r="J20" s="179"/>
      <c r="K20" s="175"/>
    </row>
    <row r="21" spans="2:11" ht="17.25" customHeight="1" x14ac:dyDescent="0.2">
      <c r="B21" s="144" t="s">
        <v>287</v>
      </c>
      <c r="C21" s="177"/>
      <c r="D21" s="144" t="s">
        <v>286</v>
      </c>
      <c r="E21" s="6" t="s">
        <v>288</v>
      </c>
      <c r="F21" s="17">
        <f>(F19+F20)/23*18</f>
        <v>36.521739130434774</v>
      </c>
      <c r="G21" s="145">
        <f>ROUNDUP(F21,0)</f>
        <v>37</v>
      </c>
      <c r="H21" s="26"/>
      <c r="I21" s="141"/>
      <c r="J21" s="39">
        <f>G21*I21</f>
        <v>0</v>
      </c>
      <c r="K21" s="175"/>
    </row>
    <row r="22" spans="2:11" ht="17.25" customHeight="1" thickBot="1" x14ac:dyDescent="0.25">
      <c r="B22" s="5" t="s">
        <v>162</v>
      </c>
      <c r="C22" s="8" t="s">
        <v>32</v>
      </c>
      <c r="D22" s="5" t="s">
        <v>17</v>
      </c>
      <c r="E22" s="6" t="s">
        <v>13</v>
      </c>
      <c r="F22" s="17">
        <f>F12*1.1/100</f>
        <v>2.2000000000000002</v>
      </c>
      <c r="G22" s="32">
        <f>ROUNDUP(F22,0)</f>
        <v>3</v>
      </c>
      <c r="H22" s="26" t="s">
        <v>58</v>
      </c>
      <c r="I22" s="39"/>
      <c r="J22" s="39">
        <f>G22*I22</f>
        <v>0</v>
      </c>
      <c r="K22" s="3"/>
    </row>
    <row r="23" spans="2:11" ht="24.75" customHeight="1" x14ac:dyDescent="0.2">
      <c r="C23" s="1" t="s">
        <v>49</v>
      </c>
      <c r="I23" s="45" t="s">
        <v>128</v>
      </c>
      <c r="J23" s="44">
        <f>SUM(J17:J22)</f>
        <v>0</v>
      </c>
    </row>
    <row r="24" spans="2:11" ht="19.5" customHeight="1" x14ac:dyDescent="0.2">
      <c r="C24" s="1" t="s">
        <v>47</v>
      </c>
      <c r="I24" s="45" t="s">
        <v>129</v>
      </c>
      <c r="J24" s="46">
        <f>J23/F13</f>
        <v>0</v>
      </c>
      <c r="K24" s="1" t="s">
        <v>182</v>
      </c>
    </row>
  </sheetData>
  <mergeCells count="9">
    <mergeCell ref="B17:B18"/>
    <mergeCell ref="C17:C18"/>
    <mergeCell ref="K17:K18"/>
    <mergeCell ref="C19:C21"/>
    <mergeCell ref="K19:K21"/>
    <mergeCell ref="J19:J20"/>
    <mergeCell ref="I19:I20"/>
    <mergeCell ref="D19:D20"/>
    <mergeCell ref="G19:G20"/>
  </mergeCells>
  <phoneticPr fontId="2"/>
  <pageMargins left="0.75" right="0.75" top="1" bottom="1" header="0.51200000000000001" footer="0.51200000000000001"/>
  <pageSetup paperSize="9" orientation="landscape" horizontalDpi="4294967293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indexed="10"/>
  </sheetPr>
  <dimension ref="A1:K33"/>
  <sheetViews>
    <sheetView workbookViewId="0">
      <selection activeCell="G1" sqref="G1"/>
    </sheetView>
  </sheetViews>
  <sheetFormatPr defaultColWidth="9" defaultRowHeight="12" x14ac:dyDescent="0.2"/>
  <cols>
    <col min="1" max="1" width="2.109375" style="120" customWidth="1"/>
    <col min="2" max="2" width="18.88671875" style="120" customWidth="1"/>
    <col min="3" max="3" width="14.77734375" style="120" customWidth="1"/>
    <col min="4" max="4" width="9.44140625" style="120" customWidth="1"/>
    <col min="5" max="5" width="14.77734375" style="120" customWidth="1"/>
    <col min="6" max="6" width="11.33203125" style="120" customWidth="1"/>
    <col min="7" max="9" width="13.44140625" style="120" customWidth="1"/>
    <col min="10" max="10" width="13.77734375" style="120" customWidth="1"/>
    <col min="11" max="11" width="41.44140625" style="120" customWidth="1"/>
    <col min="12" max="16384" width="9" style="120"/>
  </cols>
  <sheetData>
    <row r="1" spans="2:11" ht="36.75" customHeight="1" x14ac:dyDescent="0.2">
      <c r="B1" s="120" t="s">
        <v>135</v>
      </c>
      <c r="K1" s="129" t="s">
        <v>152</v>
      </c>
    </row>
    <row r="2" spans="2:11" x14ac:dyDescent="0.2">
      <c r="B2" s="120" t="s">
        <v>149</v>
      </c>
      <c r="K2" s="129" t="s">
        <v>155</v>
      </c>
    </row>
    <row r="3" spans="2:11" x14ac:dyDescent="0.2">
      <c r="K3" s="130" t="s">
        <v>154</v>
      </c>
    </row>
    <row r="4" spans="2:11" ht="17.25" customHeight="1" x14ac:dyDescent="0.2">
      <c r="B4" s="131" t="s">
        <v>136</v>
      </c>
      <c r="C4" s="125"/>
      <c r="D4" s="132"/>
      <c r="E4" s="132"/>
      <c r="F4" s="133"/>
      <c r="G4" s="170" t="s">
        <v>137</v>
      </c>
      <c r="H4" s="171"/>
      <c r="I4" s="171"/>
      <c r="J4" s="172"/>
      <c r="K4" s="131" t="s">
        <v>134</v>
      </c>
    </row>
    <row r="5" spans="2:11" ht="15" customHeight="1" x14ac:dyDescent="0.2">
      <c r="B5" s="134" t="s">
        <v>213</v>
      </c>
      <c r="C5" s="135" t="s">
        <v>138</v>
      </c>
      <c r="D5" s="136"/>
      <c r="E5" s="136"/>
      <c r="F5" s="137"/>
      <c r="G5" s="136" t="s">
        <v>345</v>
      </c>
      <c r="H5" s="136"/>
      <c r="I5" s="136"/>
      <c r="J5" s="137"/>
      <c r="K5" s="123" t="s">
        <v>228</v>
      </c>
    </row>
    <row r="6" spans="2:11" ht="15" customHeight="1" x14ac:dyDescent="0.2">
      <c r="B6" s="134" t="s">
        <v>321</v>
      </c>
      <c r="C6" s="135" t="s">
        <v>138</v>
      </c>
      <c r="D6" s="136"/>
      <c r="E6" s="136"/>
      <c r="F6" s="137"/>
      <c r="G6" s="136" t="s">
        <v>346</v>
      </c>
      <c r="H6" s="136"/>
      <c r="I6" s="136"/>
      <c r="J6" s="137"/>
      <c r="K6" s="123" t="s">
        <v>229</v>
      </c>
    </row>
    <row r="7" spans="2:11" ht="15" customHeight="1" x14ac:dyDescent="0.2">
      <c r="B7" s="134" t="s">
        <v>320</v>
      </c>
      <c r="C7" s="135" t="s">
        <v>139</v>
      </c>
      <c r="D7" s="136"/>
      <c r="E7" s="136"/>
      <c r="F7" s="137"/>
      <c r="G7" s="136" t="s">
        <v>347</v>
      </c>
      <c r="H7" s="136"/>
      <c r="I7" s="136"/>
      <c r="J7" s="137"/>
      <c r="K7" s="123" t="s">
        <v>140</v>
      </c>
    </row>
    <row r="8" spans="2:11" ht="15" customHeight="1" x14ac:dyDescent="0.2">
      <c r="B8" s="134" t="s">
        <v>322</v>
      </c>
      <c r="C8" s="135" t="s">
        <v>139</v>
      </c>
      <c r="D8" s="136"/>
      <c r="E8" s="136"/>
      <c r="F8" s="137"/>
      <c r="G8" s="136" t="s">
        <v>348</v>
      </c>
      <c r="H8" s="136"/>
      <c r="I8" s="136"/>
      <c r="J8" s="137"/>
      <c r="K8" s="123" t="s">
        <v>140</v>
      </c>
    </row>
    <row r="9" spans="2:11" ht="15" customHeight="1" x14ac:dyDescent="0.2">
      <c r="B9" s="134" t="s">
        <v>214</v>
      </c>
      <c r="C9" s="135" t="s">
        <v>241</v>
      </c>
      <c r="D9" s="136"/>
      <c r="E9" s="136"/>
      <c r="F9" s="137"/>
      <c r="G9" s="136" t="s">
        <v>349</v>
      </c>
      <c r="H9" s="136"/>
      <c r="I9" s="136"/>
      <c r="J9" s="137"/>
      <c r="K9" s="123" t="s">
        <v>221</v>
      </c>
    </row>
    <row r="10" spans="2:11" ht="15" customHeight="1" x14ac:dyDescent="0.2">
      <c r="B10" s="134" t="s">
        <v>215</v>
      </c>
      <c r="C10" s="135" t="s">
        <v>325</v>
      </c>
      <c r="D10" s="136"/>
      <c r="E10" s="136"/>
      <c r="F10" s="137"/>
      <c r="G10" s="136" t="s">
        <v>350</v>
      </c>
      <c r="H10" s="136"/>
      <c r="I10" s="136"/>
      <c r="J10" s="137"/>
      <c r="K10" s="123" t="s">
        <v>222</v>
      </c>
    </row>
    <row r="11" spans="2:11" ht="15" customHeight="1" x14ac:dyDescent="0.2">
      <c r="B11" s="134" t="s">
        <v>216</v>
      </c>
      <c r="C11" s="135" t="s">
        <v>242</v>
      </c>
      <c r="D11" s="136"/>
      <c r="E11" s="136"/>
      <c r="F11" s="137"/>
      <c r="G11" s="136" t="s">
        <v>351</v>
      </c>
      <c r="H11" s="136"/>
      <c r="I11" s="136"/>
      <c r="J11" s="137"/>
      <c r="K11" s="123" t="s">
        <v>223</v>
      </c>
    </row>
    <row r="12" spans="2:11" ht="15" customHeight="1" x14ac:dyDescent="0.2">
      <c r="B12" s="134" t="s">
        <v>217</v>
      </c>
      <c r="C12" s="135" t="s">
        <v>324</v>
      </c>
      <c r="D12" s="136"/>
      <c r="E12" s="136"/>
      <c r="F12" s="137"/>
      <c r="G12" s="136" t="s">
        <v>352</v>
      </c>
      <c r="H12" s="136"/>
      <c r="I12" s="136"/>
      <c r="J12" s="137"/>
      <c r="K12" s="123" t="s">
        <v>224</v>
      </c>
    </row>
    <row r="13" spans="2:11" ht="15" customHeight="1" x14ac:dyDescent="0.2">
      <c r="B13" s="134" t="s">
        <v>218</v>
      </c>
      <c r="C13" s="135" t="s">
        <v>220</v>
      </c>
      <c r="D13" s="136"/>
      <c r="E13" s="136"/>
      <c r="F13" s="137"/>
      <c r="G13" s="136" t="s">
        <v>353</v>
      </c>
      <c r="H13" s="136"/>
      <c r="I13" s="136"/>
      <c r="J13" s="137"/>
      <c r="K13" s="123" t="s">
        <v>219</v>
      </c>
    </row>
    <row r="14" spans="2:11" ht="15" customHeight="1" x14ac:dyDescent="0.2">
      <c r="B14" s="134" t="s">
        <v>327</v>
      </c>
      <c r="C14" s="135" t="s">
        <v>323</v>
      </c>
      <c r="D14" s="136"/>
      <c r="E14" s="136"/>
      <c r="F14" s="137"/>
      <c r="G14" s="136" t="s">
        <v>354</v>
      </c>
      <c r="H14" s="136"/>
      <c r="I14" s="136"/>
      <c r="J14" s="137"/>
      <c r="K14" s="123" t="s">
        <v>326</v>
      </c>
    </row>
    <row r="15" spans="2:11" ht="15" customHeight="1" x14ac:dyDescent="0.2">
      <c r="B15" s="134" t="s">
        <v>260</v>
      </c>
      <c r="C15" s="135" t="s">
        <v>165</v>
      </c>
      <c r="D15" s="136"/>
      <c r="E15" s="136"/>
      <c r="F15" s="137"/>
      <c r="G15" s="136" t="s">
        <v>355</v>
      </c>
      <c r="H15" s="136"/>
      <c r="I15" s="136"/>
      <c r="J15" s="137"/>
      <c r="K15" s="123" t="s">
        <v>264</v>
      </c>
    </row>
    <row r="16" spans="2:11" ht="15" customHeight="1" x14ac:dyDescent="0.2">
      <c r="B16" s="134" t="s">
        <v>261</v>
      </c>
      <c r="C16" s="135" t="s">
        <v>166</v>
      </c>
      <c r="D16" s="136"/>
      <c r="E16" s="136"/>
      <c r="F16" s="137"/>
      <c r="G16" s="136" t="s">
        <v>356</v>
      </c>
      <c r="H16" s="136"/>
      <c r="I16" s="136"/>
      <c r="J16" s="137"/>
      <c r="K16" s="123" t="s">
        <v>266</v>
      </c>
    </row>
    <row r="17" spans="1:11" ht="15" customHeight="1" x14ac:dyDescent="0.2">
      <c r="B17" s="134" t="s">
        <v>262</v>
      </c>
      <c r="C17" s="135" t="s">
        <v>263</v>
      </c>
      <c r="D17" s="136"/>
      <c r="E17" s="136"/>
      <c r="F17" s="137"/>
      <c r="G17" s="136" t="s">
        <v>357</v>
      </c>
      <c r="H17" s="136"/>
      <c r="I17" s="136"/>
      <c r="J17" s="137"/>
      <c r="K17" s="123" t="s">
        <v>265</v>
      </c>
    </row>
    <row r="18" spans="1:11" ht="15" customHeight="1" x14ac:dyDescent="0.2">
      <c r="B18" s="134" t="s">
        <v>279</v>
      </c>
      <c r="C18" s="135" t="s">
        <v>280</v>
      </c>
      <c r="D18" s="136"/>
      <c r="E18" s="136"/>
      <c r="F18" s="137"/>
      <c r="G18" s="136" t="s">
        <v>358</v>
      </c>
      <c r="H18" s="136"/>
      <c r="I18" s="136"/>
      <c r="J18" s="137"/>
      <c r="K18" s="123" t="s">
        <v>281</v>
      </c>
    </row>
    <row r="19" spans="1:11" ht="15" customHeight="1" x14ac:dyDescent="0.2">
      <c r="B19" s="134" t="s">
        <v>141</v>
      </c>
      <c r="C19" s="135" t="s">
        <v>142</v>
      </c>
      <c r="D19" s="136"/>
      <c r="E19" s="136"/>
      <c r="F19" s="137"/>
      <c r="G19" s="136" t="s">
        <v>359</v>
      </c>
      <c r="H19" s="136"/>
      <c r="I19" s="136"/>
      <c r="J19" s="137"/>
      <c r="K19" s="123" t="s">
        <v>150</v>
      </c>
    </row>
    <row r="20" spans="1:11" ht="15" customHeight="1" x14ac:dyDescent="0.2">
      <c r="B20" s="134" t="s">
        <v>225</v>
      </c>
      <c r="C20" s="135" t="s">
        <v>226</v>
      </c>
      <c r="D20" s="136"/>
      <c r="E20" s="136"/>
      <c r="F20" s="137"/>
      <c r="G20" s="136" t="s">
        <v>243</v>
      </c>
      <c r="H20" s="136"/>
      <c r="I20" s="136"/>
      <c r="J20" s="137"/>
      <c r="K20" s="123" t="s">
        <v>227</v>
      </c>
    </row>
    <row r="22" spans="1:11" x14ac:dyDescent="0.2">
      <c r="A22" s="120" t="s">
        <v>143</v>
      </c>
    </row>
    <row r="23" spans="1:11" x14ac:dyDescent="0.2">
      <c r="B23" s="138" t="s">
        <v>153</v>
      </c>
      <c r="G23" s="120" t="s">
        <v>151</v>
      </c>
    </row>
    <row r="24" spans="1:11" ht="12.6" thickBot="1" x14ac:dyDescent="0.25">
      <c r="A24" s="120" t="s">
        <v>146</v>
      </c>
      <c r="B24" s="119" t="s">
        <v>59</v>
      </c>
      <c r="D24" s="121"/>
    </row>
    <row r="25" spans="1:11" x14ac:dyDescent="0.2">
      <c r="D25" s="121"/>
      <c r="E25" s="122" t="s">
        <v>34</v>
      </c>
    </row>
    <row r="26" spans="1:11" x14ac:dyDescent="0.2">
      <c r="B26" s="123" t="s">
        <v>1</v>
      </c>
      <c r="C26" s="124" t="s">
        <v>244</v>
      </c>
      <c r="D26" s="125" t="s">
        <v>245</v>
      </c>
      <c r="E26" s="126">
        <v>1</v>
      </c>
    </row>
    <row r="27" spans="1:11" x14ac:dyDescent="0.2">
      <c r="B27" s="123" t="s">
        <v>2</v>
      </c>
      <c r="C27" s="124" t="s">
        <v>246</v>
      </c>
      <c r="D27" s="125" t="s">
        <v>247</v>
      </c>
      <c r="E27" s="126">
        <v>1</v>
      </c>
    </row>
    <row r="28" spans="1:11" x14ac:dyDescent="0.2">
      <c r="B28" s="123" t="s">
        <v>14</v>
      </c>
      <c r="C28" s="124"/>
      <c r="D28" s="125" t="s">
        <v>248</v>
      </c>
      <c r="E28" s="127">
        <v>0.2</v>
      </c>
      <c r="F28" s="120" t="s">
        <v>144</v>
      </c>
    </row>
    <row r="29" spans="1:11" x14ac:dyDescent="0.2">
      <c r="B29" s="123" t="s">
        <v>15</v>
      </c>
      <c r="C29" s="124"/>
      <c r="D29" s="125" t="s">
        <v>248</v>
      </c>
      <c r="E29" s="127">
        <f>E27/E28</f>
        <v>5</v>
      </c>
    </row>
    <row r="30" spans="1:11" ht="12.6" thickBot="1" x14ac:dyDescent="0.25">
      <c r="B30" s="123" t="s">
        <v>28</v>
      </c>
      <c r="C30" s="124" t="s">
        <v>249</v>
      </c>
      <c r="D30" s="125" t="s">
        <v>250</v>
      </c>
      <c r="E30" s="128">
        <f>E26+E27</f>
        <v>2</v>
      </c>
    </row>
    <row r="32" spans="1:11" x14ac:dyDescent="0.2">
      <c r="B32" s="120" t="s">
        <v>145</v>
      </c>
    </row>
    <row r="33" spans="2:7" x14ac:dyDescent="0.2">
      <c r="B33" s="120" t="s">
        <v>147</v>
      </c>
      <c r="G33" s="120" t="s">
        <v>148</v>
      </c>
    </row>
  </sheetData>
  <mergeCells count="1">
    <mergeCell ref="G4:J4"/>
  </mergeCells>
  <phoneticPr fontId="2"/>
  <pageMargins left="0.46" right="0.23" top="0.98425196850393704" bottom="0.98425196850393704" header="0.51181102362204722" footer="0.51181102362204722"/>
  <pageSetup paperSize="9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4:K26"/>
  <sheetViews>
    <sheetView workbookViewId="0">
      <selection activeCell="K28" sqref="K28"/>
    </sheetView>
  </sheetViews>
  <sheetFormatPr defaultColWidth="9" defaultRowHeight="13.2" x14ac:dyDescent="0.2"/>
  <cols>
    <col min="1" max="1" width="3.6640625" style="1" customWidth="1"/>
    <col min="2" max="2" width="16.21875" style="1" customWidth="1"/>
    <col min="3" max="3" width="24.6640625" style="1" customWidth="1"/>
    <col min="4" max="4" width="21.109375" style="1" customWidth="1"/>
    <col min="5" max="5" width="3.33203125" style="2" bestFit="1" customWidth="1"/>
    <col min="6" max="6" width="13.77734375" style="1" customWidth="1"/>
    <col min="7" max="7" width="13.6640625" style="1" customWidth="1"/>
    <col min="8" max="8" width="10.88671875" style="1" customWidth="1"/>
    <col min="9" max="9" width="11.21875" style="1" customWidth="1"/>
    <col min="10" max="10" width="10.6640625" style="1" customWidth="1"/>
    <col min="11" max="11" width="12.6640625" style="1" customWidth="1"/>
    <col min="12" max="16384" width="9" style="1"/>
  </cols>
  <sheetData>
    <row r="4" spans="1:11" ht="16.2" x14ac:dyDescent="0.2">
      <c r="B4" s="13" t="s">
        <v>328</v>
      </c>
      <c r="C4" s="14"/>
      <c r="D4" s="14"/>
      <c r="E4" s="15"/>
      <c r="F4" s="14"/>
    </row>
    <row r="5" spans="1:11" x14ac:dyDescent="0.2">
      <c r="B5" s="47"/>
      <c r="C5" s="47" t="s">
        <v>115</v>
      </c>
      <c r="D5" s="47"/>
    </row>
    <row r="6" spans="1:11" ht="13.8" thickBot="1" x14ac:dyDescent="0.25">
      <c r="A6" s="1" t="s">
        <v>50</v>
      </c>
      <c r="B6" s="1" t="s">
        <v>0</v>
      </c>
      <c r="C6" s="16" t="s">
        <v>59</v>
      </c>
    </row>
    <row r="7" spans="1:11" ht="19.5" customHeight="1" x14ac:dyDescent="0.2">
      <c r="F7" s="7" t="s">
        <v>34</v>
      </c>
    </row>
    <row r="8" spans="1:11" ht="18" customHeight="1" x14ac:dyDescent="0.2">
      <c r="C8" s="3" t="s">
        <v>1</v>
      </c>
      <c r="D8" s="4" t="s">
        <v>51</v>
      </c>
      <c r="E8" s="6" t="s">
        <v>52</v>
      </c>
      <c r="F8" s="9">
        <v>300</v>
      </c>
    </row>
    <row r="9" spans="1:11" ht="18" customHeight="1" x14ac:dyDescent="0.2">
      <c r="C9" s="3" t="s">
        <v>2</v>
      </c>
      <c r="D9" s="4" t="s">
        <v>53</v>
      </c>
      <c r="E9" s="6" t="s">
        <v>52</v>
      </c>
      <c r="F9" s="9">
        <v>100</v>
      </c>
    </row>
    <row r="10" spans="1:11" ht="18" customHeight="1" x14ac:dyDescent="0.2">
      <c r="C10" s="3" t="s">
        <v>14</v>
      </c>
      <c r="D10" s="4"/>
      <c r="E10" s="6" t="s">
        <v>16</v>
      </c>
      <c r="F10" s="10">
        <v>0.5</v>
      </c>
    </row>
    <row r="11" spans="1:11" ht="18" customHeight="1" x14ac:dyDescent="0.2">
      <c r="C11" s="3" t="s">
        <v>15</v>
      </c>
      <c r="D11" s="4"/>
      <c r="E11" s="6" t="s">
        <v>16</v>
      </c>
      <c r="F11" s="10">
        <f>F9/F10</f>
        <v>200</v>
      </c>
    </row>
    <row r="12" spans="1:11" ht="18" customHeight="1" thickBot="1" x14ac:dyDescent="0.25">
      <c r="C12" s="3" t="s">
        <v>28</v>
      </c>
      <c r="D12" s="4" t="s">
        <v>372</v>
      </c>
      <c r="E12" s="6" t="s">
        <v>55</v>
      </c>
      <c r="F12" s="11">
        <f>F8+F9</f>
        <v>400</v>
      </c>
    </row>
    <row r="13" spans="1:11" ht="13.8" thickBot="1" x14ac:dyDescent="0.25"/>
    <row r="14" spans="1:11" ht="27.75" customHeight="1" x14ac:dyDescent="0.2">
      <c r="A14" s="1" t="s">
        <v>56</v>
      </c>
      <c r="B14" s="1" t="s">
        <v>31</v>
      </c>
      <c r="C14" s="16" t="s">
        <v>36</v>
      </c>
      <c r="F14" s="6"/>
      <c r="G14" s="7" t="s">
        <v>35</v>
      </c>
    </row>
    <row r="15" spans="1:11" ht="20.25" customHeight="1" x14ac:dyDescent="0.2">
      <c r="B15" s="5" t="s">
        <v>12</v>
      </c>
      <c r="C15" s="5" t="s">
        <v>7</v>
      </c>
      <c r="D15" s="5" t="s">
        <v>20</v>
      </c>
      <c r="E15" s="6"/>
      <c r="F15" s="6" t="s">
        <v>181</v>
      </c>
      <c r="G15" s="29" t="s">
        <v>48</v>
      </c>
      <c r="H15" s="26" t="s">
        <v>41</v>
      </c>
      <c r="I15" s="36" t="s">
        <v>127</v>
      </c>
      <c r="J15" s="37" t="s">
        <v>101</v>
      </c>
      <c r="K15" s="5" t="s">
        <v>289</v>
      </c>
    </row>
    <row r="16" spans="1:11" ht="17.25" customHeight="1" x14ac:dyDescent="0.2">
      <c r="B16" s="173" t="s">
        <v>60</v>
      </c>
      <c r="C16" s="176" t="s">
        <v>174</v>
      </c>
      <c r="D16" s="55" t="s">
        <v>291</v>
      </c>
      <c r="E16" s="6" t="s">
        <v>8</v>
      </c>
      <c r="F16" s="62">
        <f>ROUNDUP(F12*0.2/2,0)</f>
        <v>40</v>
      </c>
      <c r="G16" s="63" t="s">
        <v>179</v>
      </c>
      <c r="H16" s="26" t="s">
        <v>62</v>
      </c>
      <c r="I16" s="60"/>
      <c r="J16" s="61" t="s">
        <v>180</v>
      </c>
      <c r="K16" s="173" t="s">
        <v>290</v>
      </c>
    </row>
    <row r="17" spans="2:11" ht="17.25" customHeight="1" x14ac:dyDescent="0.2">
      <c r="B17" s="174"/>
      <c r="C17" s="177"/>
      <c r="D17" s="147" t="s">
        <v>292</v>
      </c>
      <c r="E17" s="143" t="s">
        <v>288</v>
      </c>
      <c r="F17" s="142">
        <f>ROUNDUP(F12*0.2/10,0)</f>
        <v>8</v>
      </c>
      <c r="G17" s="146">
        <f>F17</f>
        <v>8</v>
      </c>
      <c r="H17" s="26" t="s">
        <v>61</v>
      </c>
      <c r="I17" s="141"/>
      <c r="J17" s="39">
        <f>G17*I17</f>
        <v>0</v>
      </c>
      <c r="K17" s="174"/>
    </row>
    <row r="18" spans="2:11" ht="17.25" customHeight="1" x14ac:dyDescent="0.2">
      <c r="B18" s="5" t="s">
        <v>9</v>
      </c>
      <c r="C18" s="176" t="s">
        <v>24</v>
      </c>
      <c r="D18" s="175" t="s">
        <v>168</v>
      </c>
      <c r="E18" s="6" t="s">
        <v>8</v>
      </c>
      <c r="F18" s="17">
        <f>F12*2/18</f>
        <v>44.444444444444443</v>
      </c>
      <c r="G18" s="180">
        <f>ROUNDUP(F18+F19,0)</f>
        <v>47</v>
      </c>
      <c r="H18" s="69" t="s">
        <v>297</v>
      </c>
      <c r="I18" s="182"/>
      <c r="J18" s="178">
        <f>G18*I18</f>
        <v>0</v>
      </c>
      <c r="K18" s="175" t="s">
        <v>290</v>
      </c>
    </row>
    <row r="19" spans="2:11" ht="17.25" customHeight="1" x14ac:dyDescent="0.2">
      <c r="B19" s="5" t="s">
        <v>23</v>
      </c>
      <c r="C19" s="183"/>
      <c r="D19" s="175"/>
      <c r="E19" s="6" t="s">
        <v>8</v>
      </c>
      <c r="F19" s="17">
        <f>F11*0.2*1/18</f>
        <v>2.2222222222222223</v>
      </c>
      <c r="G19" s="181"/>
      <c r="H19" s="26" t="s">
        <v>82</v>
      </c>
      <c r="I19" s="182"/>
      <c r="J19" s="179"/>
      <c r="K19" s="175"/>
    </row>
    <row r="20" spans="2:11" ht="17.25" customHeight="1" x14ac:dyDescent="0.2">
      <c r="B20" s="144" t="s">
        <v>287</v>
      </c>
      <c r="C20" s="177"/>
      <c r="D20" s="144" t="s">
        <v>286</v>
      </c>
      <c r="E20" s="6" t="s">
        <v>288</v>
      </c>
      <c r="F20" s="17">
        <f>(F18+F19)/23*18</f>
        <v>36.521739130434774</v>
      </c>
      <c r="G20" s="145">
        <f>ROUNDUP(F20,0)</f>
        <v>37</v>
      </c>
      <c r="H20" s="26"/>
      <c r="I20" s="141"/>
      <c r="J20" s="39">
        <f>G20*I20</f>
        <v>0</v>
      </c>
      <c r="K20" s="175"/>
    </row>
    <row r="21" spans="2:11" ht="17.25" customHeight="1" x14ac:dyDescent="0.2">
      <c r="B21" s="5" t="s">
        <v>10</v>
      </c>
      <c r="C21" s="8" t="s">
        <v>33</v>
      </c>
      <c r="D21" s="5" t="s">
        <v>17</v>
      </c>
      <c r="E21" s="6" t="s">
        <v>13</v>
      </c>
      <c r="F21" s="17">
        <f>F12*1.1/100</f>
        <v>4.4000000000000004</v>
      </c>
      <c r="G21" s="33">
        <f>ROUNDUP(F21,0)</f>
        <v>5</v>
      </c>
      <c r="H21" s="26" t="s">
        <v>57</v>
      </c>
      <c r="I21" s="39"/>
      <c r="J21" s="39">
        <f>G21*I21</f>
        <v>0</v>
      </c>
      <c r="K21" s="5"/>
    </row>
    <row r="22" spans="2:11" ht="17.25" customHeight="1" x14ac:dyDescent="0.2">
      <c r="B22" s="5" t="s">
        <v>11</v>
      </c>
      <c r="C22" s="8" t="s">
        <v>32</v>
      </c>
      <c r="D22" s="5" t="s">
        <v>17</v>
      </c>
      <c r="E22" s="6" t="s">
        <v>13</v>
      </c>
      <c r="F22" s="17">
        <f>F11*1.1/100</f>
        <v>2.2000000000000002</v>
      </c>
      <c r="G22" s="33">
        <f>ROUNDUP(F22,0)</f>
        <v>3</v>
      </c>
      <c r="H22" s="26" t="s">
        <v>58</v>
      </c>
      <c r="I22" s="39"/>
      <c r="J22" s="39">
        <f>G22*I22</f>
        <v>0</v>
      </c>
      <c r="K22" s="5"/>
    </row>
    <row r="23" spans="2:11" ht="19.5" customHeight="1" x14ac:dyDescent="0.2">
      <c r="B23" s="24" t="s">
        <v>76</v>
      </c>
      <c r="C23" s="25" t="s">
        <v>77</v>
      </c>
      <c r="D23" s="24" t="s">
        <v>163</v>
      </c>
      <c r="E23" s="24" t="s">
        <v>13</v>
      </c>
      <c r="F23" s="30">
        <f>F8/(1.8*50)</f>
        <v>3.3333333333333335</v>
      </c>
      <c r="G23" s="33">
        <f>ROUNDUP(F23,0)</f>
        <v>4</v>
      </c>
      <c r="H23" s="28"/>
      <c r="I23" s="39"/>
      <c r="J23" s="39">
        <f>G23*I23</f>
        <v>0</v>
      </c>
      <c r="K23" s="173" t="s">
        <v>293</v>
      </c>
    </row>
    <row r="24" spans="2:11" ht="17.25" customHeight="1" thickBot="1" x14ac:dyDescent="0.25">
      <c r="B24" s="24" t="s">
        <v>78</v>
      </c>
      <c r="C24" s="25" t="s">
        <v>79</v>
      </c>
      <c r="D24" s="24"/>
      <c r="E24" s="24" t="s">
        <v>80</v>
      </c>
      <c r="F24" s="31">
        <f>F9*12</f>
        <v>1200</v>
      </c>
      <c r="G24" s="32">
        <f>ROUNDUP(F24,-3)</f>
        <v>2000</v>
      </c>
      <c r="H24" s="28" t="s">
        <v>81</v>
      </c>
      <c r="I24" s="39"/>
      <c r="J24" s="39">
        <f>G24*I24</f>
        <v>0</v>
      </c>
      <c r="K24" s="174"/>
    </row>
    <row r="25" spans="2:11" ht="24.75" customHeight="1" x14ac:dyDescent="0.2">
      <c r="I25" s="45" t="s">
        <v>128</v>
      </c>
      <c r="J25" s="44">
        <f>SUM(J16:J24)</f>
        <v>0</v>
      </c>
    </row>
    <row r="26" spans="2:11" ht="19.5" customHeight="1" x14ac:dyDescent="0.2">
      <c r="C26" s="1" t="s">
        <v>294</v>
      </c>
      <c r="I26" s="45" t="s">
        <v>129</v>
      </c>
      <c r="J26" s="46">
        <f>J25/F12</f>
        <v>0</v>
      </c>
      <c r="K26" s="1" t="s">
        <v>182</v>
      </c>
    </row>
  </sheetData>
  <mergeCells count="10">
    <mergeCell ref="K23:K24"/>
    <mergeCell ref="K18:K20"/>
    <mergeCell ref="B16:B17"/>
    <mergeCell ref="C16:C17"/>
    <mergeCell ref="K16:K17"/>
    <mergeCell ref="J18:J19"/>
    <mergeCell ref="D18:D19"/>
    <mergeCell ref="G18:G19"/>
    <mergeCell ref="I18:I19"/>
    <mergeCell ref="C18:C20"/>
  </mergeCells>
  <phoneticPr fontId="2"/>
  <pageMargins left="0.55000000000000004" right="0.19685039370078741" top="0.98425196850393704" bottom="0.98425196850393704" header="0.51181102362204722" footer="0.51181102362204722"/>
  <pageSetup paperSize="9" orientation="landscape" horizontalDpi="4294967293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K26"/>
  <sheetViews>
    <sheetView workbookViewId="0">
      <selection activeCell="F23" sqref="F23"/>
    </sheetView>
  </sheetViews>
  <sheetFormatPr defaultColWidth="9" defaultRowHeight="13.2" x14ac:dyDescent="0.2"/>
  <cols>
    <col min="1" max="1" width="3.6640625" style="1" customWidth="1"/>
    <col min="2" max="2" width="16.21875" style="1" customWidth="1"/>
    <col min="3" max="3" width="24.6640625" style="1" customWidth="1"/>
    <col min="4" max="4" width="21.109375" style="1" customWidth="1"/>
    <col min="5" max="5" width="3.33203125" style="2" bestFit="1" customWidth="1"/>
    <col min="6" max="6" width="13.77734375" style="1" customWidth="1"/>
    <col min="7" max="7" width="13" style="1" bestFit="1" customWidth="1"/>
    <col min="8" max="8" width="11.33203125" style="1" customWidth="1"/>
    <col min="9" max="9" width="11.21875" style="1" customWidth="1"/>
    <col min="10" max="10" width="10.6640625" style="1" customWidth="1"/>
    <col min="11" max="11" width="11.44140625" style="1" customWidth="1"/>
    <col min="12" max="16384" width="9" style="1"/>
  </cols>
  <sheetData>
    <row r="4" spans="1:11" ht="16.2" x14ac:dyDescent="0.2">
      <c r="B4" s="13" t="s">
        <v>332</v>
      </c>
      <c r="C4" s="14"/>
      <c r="D4" s="14"/>
      <c r="E4" s="15"/>
      <c r="F4" s="14"/>
    </row>
    <row r="5" spans="1:11" ht="20.25" customHeight="1" x14ac:dyDescent="0.2">
      <c r="B5" s="47"/>
      <c r="C5" s="47" t="s">
        <v>282</v>
      </c>
      <c r="D5" s="47"/>
    </row>
    <row r="6" spans="1:11" ht="13.8" thickBot="1" x14ac:dyDescent="0.25">
      <c r="A6" s="1" t="s">
        <v>185</v>
      </c>
      <c r="B6" s="1" t="s">
        <v>0</v>
      </c>
      <c r="C6" s="16" t="s">
        <v>59</v>
      </c>
    </row>
    <row r="7" spans="1:11" ht="19.5" customHeight="1" x14ac:dyDescent="0.2">
      <c r="F7" s="7" t="s">
        <v>34</v>
      </c>
    </row>
    <row r="8" spans="1:11" ht="18" customHeight="1" x14ac:dyDescent="0.2">
      <c r="C8" s="3" t="s">
        <v>1</v>
      </c>
      <c r="D8" s="4" t="s">
        <v>51</v>
      </c>
      <c r="E8" s="6" t="s">
        <v>52</v>
      </c>
      <c r="F8" s="9">
        <v>300</v>
      </c>
    </row>
    <row r="9" spans="1:11" ht="18" customHeight="1" x14ac:dyDescent="0.2">
      <c r="C9" s="3" t="s">
        <v>2</v>
      </c>
      <c r="D9" s="4" t="s">
        <v>53</v>
      </c>
      <c r="E9" s="6" t="s">
        <v>52</v>
      </c>
      <c r="F9" s="9">
        <v>100</v>
      </c>
    </row>
    <row r="10" spans="1:11" ht="18" customHeight="1" x14ac:dyDescent="0.2">
      <c r="C10" s="3" t="s">
        <v>14</v>
      </c>
      <c r="D10" s="4"/>
      <c r="E10" s="6" t="s">
        <v>16</v>
      </c>
      <c r="F10" s="10">
        <v>0.5</v>
      </c>
    </row>
    <row r="11" spans="1:11" ht="18" customHeight="1" x14ac:dyDescent="0.2">
      <c r="C11" s="3" t="s">
        <v>15</v>
      </c>
      <c r="D11" s="4"/>
      <c r="E11" s="6" t="s">
        <v>16</v>
      </c>
      <c r="F11" s="10">
        <f>F9/F10</f>
        <v>200</v>
      </c>
    </row>
    <row r="12" spans="1:11" ht="18" customHeight="1" thickBot="1" x14ac:dyDescent="0.25">
      <c r="C12" s="3" t="s">
        <v>28</v>
      </c>
      <c r="D12" s="4" t="s">
        <v>372</v>
      </c>
      <c r="E12" s="6" t="s">
        <v>55</v>
      </c>
      <c r="F12" s="11">
        <f>F8+F9</f>
        <v>400</v>
      </c>
    </row>
    <row r="13" spans="1:11" ht="13.8" thickBot="1" x14ac:dyDescent="0.25"/>
    <row r="14" spans="1:11" ht="27.75" customHeight="1" x14ac:dyDescent="0.2">
      <c r="A14" s="1" t="s">
        <v>56</v>
      </c>
      <c r="B14" s="1" t="s">
        <v>31</v>
      </c>
      <c r="C14" s="16" t="s">
        <v>36</v>
      </c>
      <c r="F14" s="6"/>
      <c r="G14" s="7" t="s">
        <v>35</v>
      </c>
    </row>
    <row r="15" spans="1:11" ht="20.25" customHeight="1" x14ac:dyDescent="0.2">
      <c r="B15" s="5" t="s">
        <v>12</v>
      </c>
      <c r="C15" s="5" t="s">
        <v>7</v>
      </c>
      <c r="D15" s="5" t="s">
        <v>20</v>
      </c>
      <c r="E15" s="6"/>
      <c r="F15" s="6" t="s">
        <v>181</v>
      </c>
      <c r="G15" s="29" t="s">
        <v>48</v>
      </c>
      <c r="H15" s="26" t="s">
        <v>41</v>
      </c>
      <c r="I15" s="36" t="s">
        <v>127</v>
      </c>
      <c r="J15" s="37" t="s">
        <v>101</v>
      </c>
      <c r="K15" s="5" t="s">
        <v>289</v>
      </c>
    </row>
    <row r="16" spans="1:11" ht="17.25" customHeight="1" x14ac:dyDescent="0.2">
      <c r="B16" s="173" t="s">
        <v>186</v>
      </c>
      <c r="C16" s="176" t="s">
        <v>187</v>
      </c>
      <c r="D16" s="55" t="s">
        <v>291</v>
      </c>
      <c r="E16" s="6" t="s">
        <v>8</v>
      </c>
      <c r="F16" s="62">
        <f>ROUNDUP(F12*0.2/2,0)</f>
        <v>40</v>
      </c>
      <c r="G16" s="63" t="s">
        <v>179</v>
      </c>
      <c r="H16" s="26" t="s">
        <v>61</v>
      </c>
      <c r="I16" s="60"/>
      <c r="J16" s="61" t="s">
        <v>180</v>
      </c>
      <c r="K16" s="173" t="s">
        <v>290</v>
      </c>
    </row>
    <row r="17" spans="2:11" ht="17.25" customHeight="1" x14ac:dyDescent="0.2">
      <c r="B17" s="174"/>
      <c r="C17" s="177"/>
      <c r="D17" s="147" t="s">
        <v>292</v>
      </c>
      <c r="E17" s="143" t="s">
        <v>288</v>
      </c>
      <c r="F17" s="142">
        <f>ROUNDUP(F12*0.2/10,0)</f>
        <v>8</v>
      </c>
      <c r="G17" s="146">
        <f>F17</f>
        <v>8</v>
      </c>
      <c r="H17" s="26" t="s">
        <v>61</v>
      </c>
      <c r="I17" s="141"/>
      <c r="J17" s="39">
        <f>G17*I17</f>
        <v>0</v>
      </c>
      <c r="K17" s="174"/>
    </row>
    <row r="18" spans="2:11" ht="17.25" customHeight="1" x14ac:dyDescent="0.2">
      <c r="B18" s="5" t="s">
        <v>9</v>
      </c>
      <c r="C18" s="176" t="s">
        <v>188</v>
      </c>
      <c r="D18" s="175" t="s">
        <v>168</v>
      </c>
      <c r="E18" s="6" t="s">
        <v>8</v>
      </c>
      <c r="F18" s="17">
        <f>F12*4.2/18</f>
        <v>93.333333333333329</v>
      </c>
      <c r="G18" s="184">
        <f>ROUNDUP(F18+F19,0)</f>
        <v>96</v>
      </c>
      <c r="H18" s="69" t="s">
        <v>283</v>
      </c>
      <c r="I18" s="182"/>
      <c r="J18" s="178">
        <f>G18*I18</f>
        <v>0</v>
      </c>
      <c r="K18" s="175" t="s">
        <v>290</v>
      </c>
    </row>
    <row r="19" spans="2:11" ht="17.25" customHeight="1" x14ac:dyDescent="0.2">
      <c r="B19" s="5" t="s">
        <v>23</v>
      </c>
      <c r="C19" s="183"/>
      <c r="D19" s="175"/>
      <c r="E19" s="6" t="s">
        <v>8</v>
      </c>
      <c r="F19" s="17">
        <f>F11*0.2*1/18</f>
        <v>2.2222222222222223</v>
      </c>
      <c r="G19" s="184"/>
      <c r="H19" s="26" t="s">
        <v>73</v>
      </c>
      <c r="I19" s="182"/>
      <c r="J19" s="179"/>
      <c r="K19" s="175"/>
    </row>
    <row r="20" spans="2:11" ht="17.25" customHeight="1" x14ac:dyDescent="0.2">
      <c r="B20" s="144" t="s">
        <v>287</v>
      </c>
      <c r="C20" s="177"/>
      <c r="D20" s="144" t="s">
        <v>286</v>
      </c>
      <c r="E20" s="6" t="s">
        <v>288</v>
      </c>
      <c r="F20" s="17">
        <f>(F18+F19)/23*18</f>
        <v>74.782608695652172</v>
      </c>
      <c r="G20" s="145">
        <f>ROUNDUP(F20,0)</f>
        <v>75</v>
      </c>
      <c r="H20" s="26"/>
      <c r="I20" s="141"/>
      <c r="J20" s="39">
        <f>G20*I20</f>
        <v>0</v>
      </c>
      <c r="K20" s="175"/>
    </row>
    <row r="21" spans="2:11" ht="17.25" customHeight="1" x14ac:dyDescent="0.2">
      <c r="B21" s="5" t="s">
        <v>10</v>
      </c>
      <c r="C21" s="8" t="s">
        <v>33</v>
      </c>
      <c r="D21" s="5" t="s">
        <v>17</v>
      </c>
      <c r="E21" s="6" t="s">
        <v>13</v>
      </c>
      <c r="F21" s="17">
        <f>F12*1.1/100</f>
        <v>4.4000000000000004</v>
      </c>
      <c r="G21" s="33">
        <f>ROUNDUP(F21,0)</f>
        <v>5</v>
      </c>
      <c r="H21" s="26" t="s">
        <v>57</v>
      </c>
      <c r="I21" s="39"/>
      <c r="J21" s="39">
        <f>G21*I21</f>
        <v>0</v>
      </c>
      <c r="K21" s="5"/>
    </row>
    <row r="22" spans="2:11" ht="17.25" customHeight="1" x14ac:dyDescent="0.2">
      <c r="B22" s="5" t="s">
        <v>11</v>
      </c>
      <c r="C22" s="8" t="s">
        <v>32</v>
      </c>
      <c r="D22" s="5" t="s">
        <v>17</v>
      </c>
      <c r="E22" s="6" t="s">
        <v>13</v>
      </c>
      <c r="F22" s="17">
        <f>F11*1.1/100</f>
        <v>2.2000000000000002</v>
      </c>
      <c r="G22" s="33">
        <f>ROUNDUP(F22,0)</f>
        <v>3</v>
      </c>
      <c r="H22" s="26" t="s">
        <v>58</v>
      </c>
      <c r="I22" s="39"/>
      <c r="J22" s="39">
        <f>G22*I22</f>
        <v>0</v>
      </c>
      <c r="K22" s="5"/>
    </row>
    <row r="23" spans="2:11" ht="19.5" customHeight="1" x14ac:dyDescent="0.2">
      <c r="B23" s="40" t="s">
        <v>76</v>
      </c>
      <c r="C23" s="25" t="s">
        <v>77</v>
      </c>
      <c r="D23" s="40" t="s">
        <v>163</v>
      </c>
      <c r="E23" s="40" t="s">
        <v>13</v>
      </c>
      <c r="F23" s="41">
        <f>F8/(1.8*50)</f>
        <v>3.3333333333333335</v>
      </c>
      <c r="G23" s="33">
        <f>ROUNDUP(F23,0)</f>
        <v>4</v>
      </c>
      <c r="H23" s="42"/>
      <c r="I23" s="39"/>
      <c r="J23" s="39">
        <f>G23*I23</f>
        <v>0</v>
      </c>
      <c r="K23" s="173" t="s">
        <v>293</v>
      </c>
    </row>
    <row r="24" spans="2:11" ht="17.25" customHeight="1" thickBot="1" x14ac:dyDescent="0.25">
      <c r="B24" s="40" t="s">
        <v>78</v>
      </c>
      <c r="C24" s="25" t="s">
        <v>79</v>
      </c>
      <c r="D24" s="40"/>
      <c r="E24" s="40" t="s">
        <v>80</v>
      </c>
      <c r="F24" s="43">
        <f>F9*12</f>
        <v>1200</v>
      </c>
      <c r="G24" s="32">
        <f>ROUNDUP(F24,-3)</f>
        <v>2000</v>
      </c>
      <c r="H24" s="42" t="s">
        <v>81</v>
      </c>
      <c r="I24" s="39"/>
      <c r="J24" s="39">
        <f>G24*I24</f>
        <v>0</v>
      </c>
      <c r="K24" s="174"/>
    </row>
    <row r="25" spans="2:11" ht="24.75" customHeight="1" x14ac:dyDescent="0.2">
      <c r="I25" s="45" t="s">
        <v>128</v>
      </c>
      <c r="J25" s="44">
        <f>SUM(J16:J24)</f>
        <v>0</v>
      </c>
    </row>
    <row r="26" spans="2:11" ht="19.5" customHeight="1" x14ac:dyDescent="0.2">
      <c r="C26" s="1" t="s">
        <v>47</v>
      </c>
      <c r="I26" s="45" t="s">
        <v>129</v>
      </c>
      <c r="J26" s="48">
        <f>J25/F12</f>
        <v>0</v>
      </c>
      <c r="K26" s="1" t="s">
        <v>182</v>
      </c>
    </row>
  </sheetData>
  <mergeCells count="10">
    <mergeCell ref="K23:K24"/>
    <mergeCell ref="K18:K20"/>
    <mergeCell ref="B16:B17"/>
    <mergeCell ref="C16:C17"/>
    <mergeCell ref="K16:K17"/>
    <mergeCell ref="C18:C20"/>
    <mergeCell ref="J18:J19"/>
    <mergeCell ref="D18:D19"/>
    <mergeCell ref="G18:G19"/>
    <mergeCell ref="I18:I19"/>
  </mergeCells>
  <phoneticPr fontId="2"/>
  <pageMargins left="0.43" right="0.28999999999999998" top="1" bottom="1" header="0.51200000000000001" footer="0.51200000000000001"/>
  <pageSetup paperSize="9" orientation="landscape" horizontalDpi="4294967293" verticalDpi="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4:K29"/>
  <sheetViews>
    <sheetView tabSelected="1" topLeftCell="A7" workbookViewId="0">
      <selection activeCell="D14" sqref="D14"/>
    </sheetView>
  </sheetViews>
  <sheetFormatPr defaultColWidth="9" defaultRowHeight="13.2" x14ac:dyDescent="0.2"/>
  <cols>
    <col min="1" max="1" width="3.6640625" style="1" customWidth="1"/>
    <col min="2" max="2" width="16.21875" style="1" customWidth="1"/>
    <col min="3" max="3" width="24.6640625" style="1" customWidth="1"/>
    <col min="4" max="4" width="18.44140625" style="1" customWidth="1"/>
    <col min="5" max="5" width="3.33203125" style="2" bestFit="1" customWidth="1"/>
    <col min="6" max="6" width="16.77734375" style="1" customWidth="1"/>
    <col min="7" max="7" width="13.21875" style="1" bestFit="1" customWidth="1"/>
    <col min="8" max="8" width="11.33203125" style="1" customWidth="1"/>
    <col min="9" max="9" width="13.33203125" style="1" customWidth="1"/>
    <col min="10" max="10" width="10.88671875" style="1" customWidth="1"/>
    <col min="11" max="11" width="11.33203125" style="1" customWidth="1"/>
    <col min="12" max="16384" width="9" style="1"/>
  </cols>
  <sheetData>
    <row r="4" spans="1:11" x14ac:dyDescent="0.2">
      <c r="B4" s="14" t="s">
        <v>333</v>
      </c>
      <c r="C4" s="14"/>
      <c r="D4" s="14"/>
      <c r="E4" s="15"/>
      <c r="F4" s="14"/>
    </row>
    <row r="5" spans="1:11" x14ac:dyDescent="0.2">
      <c r="B5" s="47"/>
      <c r="C5" s="47" t="s">
        <v>117</v>
      </c>
      <c r="D5" s="47"/>
    </row>
    <row r="6" spans="1:11" ht="13.8" thickBot="1" x14ac:dyDescent="0.25">
      <c r="A6" s="1" t="s">
        <v>116</v>
      </c>
      <c r="B6" s="1" t="s">
        <v>0</v>
      </c>
      <c r="C6" s="16" t="s">
        <v>59</v>
      </c>
    </row>
    <row r="7" spans="1:11" x14ac:dyDescent="0.2">
      <c r="F7" s="7" t="s">
        <v>34</v>
      </c>
    </row>
    <row r="8" spans="1:11" ht="18" customHeight="1" x14ac:dyDescent="0.2">
      <c r="C8" s="3" t="s">
        <v>119</v>
      </c>
      <c r="D8" s="4" t="s">
        <v>51</v>
      </c>
      <c r="E8" s="6" t="s">
        <v>52</v>
      </c>
      <c r="F8" s="9">
        <v>100</v>
      </c>
    </row>
    <row r="9" spans="1:11" ht="18" customHeight="1" x14ac:dyDescent="0.2">
      <c r="C9" s="3" t="s">
        <v>118</v>
      </c>
      <c r="D9" s="4" t="s">
        <v>121</v>
      </c>
      <c r="E9" s="6" t="s">
        <v>120</v>
      </c>
      <c r="F9" s="9">
        <v>200</v>
      </c>
    </row>
    <row r="10" spans="1:11" ht="18" customHeight="1" x14ac:dyDescent="0.2">
      <c r="C10" s="3" t="s">
        <v>2</v>
      </c>
      <c r="D10" s="4" t="s">
        <v>53</v>
      </c>
      <c r="E10" s="6" t="s">
        <v>52</v>
      </c>
      <c r="F10" s="9">
        <v>100</v>
      </c>
    </row>
    <row r="11" spans="1:11" ht="18" customHeight="1" x14ac:dyDescent="0.2">
      <c r="C11" s="3" t="s">
        <v>14</v>
      </c>
      <c r="D11" s="4"/>
      <c r="E11" s="6" t="s">
        <v>16</v>
      </c>
      <c r="F11" s="10">
        <v>0.5</v>
      </c>
    </row>
    <row r="12" spans="1:11" ht="18" customHeight="1" x14ac:dyDescent="0.2">
      <c r="C12" s="3" t="s">
        <v>15</v>
      </c>
      <c r="D12" s="4"/>
      <c r="E12" s="6" t="s">
        <v>16</v>
      </c>
      <c r="F12" s="10">
        <f>F10/F11</f>
        <v>200</v>
      </c>
    </row>
    <row r="13" spans="1:11" ht="18" customHeight="1" thickBot="1" x14ac:dyDescent="0.25">
      <c r="C13" s="3" t="s">
        <v>28</v>
      </c>
      <c r="D13" s="4" t="s">
        <v>377</v>
      </c>
      <c r="E13" s="6" t="s">
        <v>55</v>
      </c>
      <c r="F13" s="11">
        <f>F8+F9+F10</f>
        <v>400</v>
      </c>
    </row>
    <row r="14" spans="1:11" ht="13.8" thickBot="1" x14ac:dyDescent="0.25"/>
    <row r="15" spans="1:11" ht="27.75" customHeight="1" x14ac:dyDescent="0.2">
      <c r="A15" s="1" t="s">
        <v>56</v>
      </c>
      <c r="B15" s="1" t="s">
        <v>31</v>
      </c>
      <c r="C15" s="16" t="s">
        <v>36</v>
      </c>
      <c r="F15" s="6"/>
      <c r="G15" s="7" t="s">
        <v>35</v>
      </c>
    </row>
    <row r="16" spans="1:11" ht="20.25" customHeight="1" x14ac:dyDescent="0.2">
      <c r="B16" s="5" t="s">
        <v>12</v>
      </c>
      <c r="C16" s="5" t="s">
        <v>7</v>
      </c>
      <c r="D16" s="5" t="s">
        <v>20</v>
      </c>
      <c r="E16" s="6"/>
      <c r="F16" s="6" t="s">
        <v>178</v>
      </c>
      <c r="G16" s="29" t="s">
        <v>48</v>
      </c>
      <c r="H16" s="26" t="s">
        <v>41</v>
      </c>
      <c r="I16" s="36" t="s">
        <v>127</v>
      </c>
      <c r="J16" s="37" t="s">
        <v>101</v>
      </c>
      <c r="K16" s="5" t="s">
        <v>289</v>
      </c>
    </row>
    <row r="17" spans="2:11" ht="18.75" customHeight="1" x14ac:dyDescent="0.2">
      <c r="B17" s="173" t="s">
        <v>86</v>
      </c>
      <c r="C17" s="176" t="s">
        <v>174</v>
      </c>
      <c r="D17" s="55" t="s">
        <v>291</v>
      </c>
      <c r="E17" s="6" t="s">
        <v>8</v>
      </c>
      <c r="F17" s="62">
        <f>ROUNDUP(F13/10,0)</f>
        <v>40</v>
      </c>
      <c r="G17" s="63" t="s">
        <v>179</v>
      </c>
      <c r="H17" s="26" t="s">
        <v>62</v>
      </c>
      <c r="I17" s="60"/>
      <c r="J17" s="61" t="s">
        <v>180</v>
      </c>
      <c r="K17" s="175" t="s">
        <v>290</v>
      </c>
    </row>
    <row r="18" spans="2:11" ht="18.75" customHeight="1" x14ac:dyDescent="0.2">
      <c r="B18" s="174"/>
      <c r="C18" s="177"/>
      <c r="D18" s="147" t="s">
        <v>292</v>
      </c>
      <c r="E18" s="143" t="s">
        <v>288</v>
      </c>
      <c r="F18" s="142">
        <f>ROUNDUP(F13*0.2/10,0)</f>
        <v>8</v>
      </c>
      <c r="G18" s="146">
        <f>F18</f>
        <v>8</v>
      </c>
      <c r="H18" s="26" t="s">
        <v>61</v>
      </c>
      <c r="I18" s="141"/>
      <c r="J18" s="39">
        <f>G18*I18</f>
        <v>0</v>
      </c>
      <c r="K18" s="175"/>
    </row>
    <row r="19" spans="2:11" ht="18.75" customHeight="1" x14ac:dyDescent="0.2">
      <c r="B19" s="5" t="s">
        <v>9</v>
      </c>
      <c r="C19" s="176" t="s">
        <v>24</v>
      </c>
      <c r="D19" s="175" t="s">
        <v>168</v>
      </c>
      <c r="E19" s="6" t="s">
        <v>8</v>
      </c>
      <c r="F19" s="17">
        <f>F13*2/18</f>
        <v>44.444444444444443</v>
      </c>
      <c r="G19" s="186">
        <f>ROUNDUP(F19+F20+F21,0)</f>
        <v>49</v>
      </c>
      <c r="H19" s="69" t="s">
        <v>42</v>
      </c>
      <c r="I19" s="185"/>
      <c r="J19" s="185">
        <f>G19*I19</f>
        <v>0</v>
      </c>
      <c r="K19" s="175" t="s">
        <v>290</v>
      </c>
    </row>
    <row r="20" spans="2:11" ht="18.75" customHeight="1" x14ac:dyDescent="0.2">
      <c r="B20" s="5" t="s">
        <v>124</v>
      </c>
      <c r="C20" s="183"/>
      <c r="D20" s="175"/>
      <c r="E20" s="6" t="s">
        <v>8</v>
      </c>
      <c r="F20" s="17">
        <f>F12*0.2*1/18</f>
        <v>2.2222222222222223</v>
      </c>
      <c r="G20" s="186"/>
      <c r="H20" s="26" t="s">
        <v>73</v>
      </c>
      <c r="I20" s="185"/>
      <c r="J20" s="185"/>
      <c r="K20" s="175"/>
    </row>
    <row r="21" spans="2:11" ht="18.75" customHeight="1" x14ac:dyDescent="0.2">
      <c r="B21" s="5" t="s">
        <v>125</v>
      </c>
      <c r="C21" s="183"/>
      <c r="D21" s="175"/>
      <c r="E21" s="6" t="s">
        <v>8</v>
      </c>
      <c r="F21" s="17">
        <f>F9*0.2/18</f>
        <v>2.2222222222222223</v>
      </c>
      <c r="G21" s="186"/>
      <c r="H21" s="26" t="s">
        <v>82</v>
      </c>
      <c r="I21" s="185"/>
      <c r="J21" s="185"/>
      <c r="K21" s="175"/>
    </row>
    <row r="22" spans="2:11" ht="18.75" customHeight="1" x14ac:dyDescent="0.2">
      <c r="B22" s="144" t="s">
        <v>287</v>
      </c>
      <c r="C22" s="177"/>
      <c r="D22" s="144" t="s">
        <v>286</v>
      </c>
      <c r="E22" s="6" t="s">
        <v>288</v>
      </c>
      <c r="F22" s="17">
        <f>(F19+F20+F21)/23*18</f>
        <v>38.260869565217384</v>
      </c>
      <c r="G22" s="145">
        <f>ROUNDUP(F22,0)</f>
        <v>39</v>
      </c>
      <c r="H22" s="26"/>
      <c r="I22" s="141"/>
      <c r="J22" s="39">
        <f t="shared" ref="J22:J27" si="0">G22*I22</f>
        <v>0</v>
      </c>
      <c r="K22" s="175"/>
    </row>
    <row r="23" spans="2:11" ht="18.75" customHeight="1" x14ac:dyDescent="0.2">
      <c r="B23" s="5" t="s">
        <v>10</v>
      </c>
      <c r="C23" s="8" t="s">
        <v>33</v>
      </c>
      <c r="D23" s="5" t="s">
        <v>17</v>
      </c>
      <c r="E23" s="6" t="s">
        <v>13</v>
      </c>
      <c r="F23" s="17">
        <f>F13*1.1/100</f>
        <v>4.4000000000000004</v>
      </c>
      <c r="G23" s="33">
        <f>ROUNDUP(F23,0)</f>
        <v>5</v>
      </c>
      <c r="H23" s="26" t="s">
        <v>57</v>
      </c>
      <c r="I23" s="39"/>
      <c r="J23" s="39">
        <f t="shared" si="0"/>
        <v>0</v>
      </c>
      <c r="K23" s="3"/>
    </row>
    <row r="24" spans="2:11" ht="18.75" customHeight="1" x14ac:dyDescent="0.2">
      <c r="B24" s="5" t="s">
        <v>11</v>
      </c>
      <c r="C24" s="8" t="s">
        <v>32</v>
      </c>
      <c r="D24" s="5" t="s">
        <v>17</v>
      </c>
      <c r="E24" s="6" t="s">
        <v>13</v>
      </c>
      <c r="F24" s="17">
        <f>F12*1.1/100</f>
        <v>2.2000000000000002</v>
      </c>
      <c r="G24" s="33">
        <f>ROUNDUP(F24,0)</f>
        <v>3</v>
      </c>
      <c r="H24" s="26" t="s">
        <v>58</v>
      </c>
      <c r="I24" s="39"/>
      <c r="J24" s="39">
        <f t="shared" si="0"/>
        <v>0</v>
      </c>
      <c r="K24" s="3"/>
    </row>
    <row r="25" spans="2:11" ht="18.75" customHeight="1" x14ac:dyDescent="0.2">
      <c r="B25" s="5" t="s">
        <v>122</v>
      </c>
      <c r="C25" s="18" t="s">
        <v>123</v>
      </c>
      <c r="D25" s="5" t="s">
        <v>126</v>
      </c>
      <c r="E25" s="6" t="s">
        <v>69</v>
      </c>
      <c r="F25" s="17">
        <f>F9/(0.91*1.82)</f>
        <v>120.75836251660427</v>
      </c>
      <c r="G25" s="59">
        <f>ROUNDUP(F25,0)</f>
        <v>121</v>
      </c>
      <c r="H25" s="26"/>
      <c r="I25" s="39"/>
      <c r="J25" s="39">
        <f t="shared" si="0"/>
        <v>0</v>
      </c>
      <c r="K25" s="175" t="s">
        <v>293</v>
      </c>
    </row>
    <row r="26" spans="2:11" ht="18.75" customHeight="1" x14ac:dyDescent="0.2">
      <c r="B26" s="40" t="s">
        <v>76</v>
      </c>
      <c r="C26" s="25" t="s">
        <v>77</v>
      </c>
      <c r="D26" s="40" t="s">
        <v>164</v>
      </c>
      <c r="E26" s="40" t="s">
        <v>13</v>
      </c>
      <c r="F26" s="41">
        <f>(F8+F9)/(1.8*50)</f>
        <v>3.3333333333333335</v>
      </c>
      <c r="G26" s="33">
        <f>ROUNDUP(F26,0)</f>
        <v>4</v>
      </c>
      <c r="H26" s="42"/>
      <c r="I26" s="39"/>
      <c r="J26" s="39">
        <f t="shared" si="0"/>
        <v>0</v>
      </c>
      <c r="K26" s="175"/>
    </row>
    <row r="27" spans="2:11" ht="18.75" customHeight="1" thickBot="1" x14ac:dyDescent="0.25">
      <c r="B27" s="40" t="s">
        <v>78</v>
      </c>
      <c r="C27" s="25" t="s">
        <v>79</v>
      </c>
      <c r="D27" s="40"/>
      <c r="E27" s="40" t="s">
        <v>80</v>
      </c>
      <c r="F27" s="43">
        <f>F10*12</f>
        <v>1200</v>
      </c>
      <c r="G27" s="32">
        <f>ROUNDUP(F27,-3)</f>
        <v>2000</v>
      </c>
      <c r="H27" s="42" t="s">
        <v>81</v>
      </c>
      <c r="I27" s="39"/>
      <c r="J27" s="39">
        <f t="shared" si="0"/>
        <v>0</v>
      </c>
      <c r="K27" s="175"/>
    </row>
    <row r="28" spans="2:11" ht="20.25" customHeight="1" x14ac:dyDescent="0.2">
      <c r="I28" s="45" t="s">
        <v>128</v>
      </c>
      <c r="J28" s="44">
        <f>SUM(J17:J27)</f>
        <v>0</v>
      </c>
    </row>
    <row r="29" spans="2:11" ht="20.25" customHeight="1" x14ac:dyDescent="0.2">
      <c r="C29" s="1" t="s">
        <v>47</v>
      </c>
      <c r="I29" s="45" t="s">
        <v>129</v>
      </c>
      <c r="J29" s="46">
        <f>J28/F13</f>
        <v>0</v>
      </c>
      <c r="K29" s="1" t="s">
        <v>182</v>
      </c>
    </row>
  </sheetData>
  <mergeCells count="10">
    <mergeCell ref="K25:K27"/>
    <mergeCell ref="B17:B18"/>
    <mergeCell ref="C17:C18"/>
    <mergeCell ref="C19:C22"/>
    <mergeCell ref="K19:K22"/>
    <mergeCell ref="K17:K18"/>
    <mergeCell ref="J19:J21"/>
    <mergeCell ref="D19:D21"/>
    <mergeCell ref="G19:G21"/>
    <mergeCell ref="I19:I21"/>
  </mergeCells>
  <phoneticPr fontId="2"/>
  <pageMargins left="0.48" right="0.2" top="1" bottom="1" header="0.51200000000000001" footer="0.51200000000000001"/>
  <pageSetup paperSize="9" orientation="landscape" horizontalDpi="4294967293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4:K29"/>
  <sheetViews>
    <sheetView topLeftCell="A10" workbookViewId="0">
      <selection activeCell="D14" sqref="D14"/>
    </sheetView>
  </sheetViews>
  <sheetFormatPr defaultColWidth="9" defaultRowHeight="13.2" x14ac:dyDescent="0.2"/>
  <cols>
    <col min="1" max="1" width="3.6640625" style="1" customWidth="1"/>
    <col min="2" max="2" width="16.21875" style="1" customWidth="1"/>
    <col min="3" max="3" width="24.6640625" style="1" customWidth="1"/>
    <col min="4" max="4" width="18.44140625" style="1" customWidth="1"/>
    <col min="5" max="5" width="3.33203125" style="2" bestFit="1" customWidth="1"/>
    <col min="6" max="6" width="16.77734375" style="1" customWidth="1"/>
    <col min="7" max="7" width="13.21875" style="1" bestFit="1" customWidth="1"/>
    <col min="8" max="8" width="11.33203125" style="1" customWidth="1"/>
    <col min="9" max="9" width="13.33203125" style="1" customWidth="1"/>
    <col min="10" max="10" width="10.88671875" style="1" customWidth="1"/>
    <col min="11" max="11" width="11.33203125" style="1" customWidth="1"/>
    <col min="12" max="16384" width="9" style="1"/>
  </cols>
  <sheetData>
    <row r="4" spans="1:11" x14ac:dyDescent="0.2">
      <c r="B4" s="14" t="s">
        <v>334</v>
      </c>
      <c r="C4" s="14"/>
      <c r="D4" s="14"/>
      <c r="E4" s="15"/>
      <c r="F4" s="14"/>
    </row>
    <row r="5" spans="1:11" x14ac:dyDescent="0.2">
      <c r="B5" s="156"/>
      <c r="C5" s="156" t="s">
        <v>319</v>
      </c>
      <c r="D5" s="156"/>
    </row>
    <row r="6" spans="1:11" ht="13.8" thickBot="1" x14ac:dyDescent="0.25">
      <c r="A6" s="1" t="s">
        <v>308</v>
      </c>
      <c r="B6" s="1" t="s">
        <v>0</v>
      </c>
      <c r="C6" s="16" t="s">
        <v>59</v>
      </c>
    </row>
    <row r="7" spans="1:11" x14ac:dyDescent="0.2">
      <c r="F7" s="7" t="s">
        <v>34</v>
      </c>
    </row>
    <row r="8" spans="1:11" ht="18" customHeight="1" x14ac:dyDescent="0.2">
      <c r="C8" s="3" t="s">
        <v>119</v>
      </c>
      <c r="D8" s="4" t="s">
        <v>309</v>
      </c>
      <c r="E8" s="6" t="s">
        <v>310</v>
      </c>
      <c r="F8" s="9">
        <v>100</v>
      </c>
    </row>
    <row r="9" spans="1:11" ht="18" customHeight="1" x14ac:dyDescent="0.2">
      <c r="C9" s="3" t="s">
        <v>118</v>
      </c>
      <c r="D9" s="4" t="s">
        <v>311</v>
      </c>
      <c r="E9" s="6" t="s">
        <v>312</v>
      </c>
      <c r="F9" s="9">
        <v>200</v>
      </c>
    </row>
    <row r="10" spans="1:11" ht="18" customHeight="1" x14ac:dyDescent="0.2">
      <c r="C10" s="3" t="s">
        <v>2</v>
      </c>
      <c r="D10" s="4" t="s">
        <v>299</v>
      </c>
      <c r="E10" s="6" t="s">
        <v>298</v>
      </c>
      <c r="F10" s="9">
        <v>100</v>
      </c>
    </row>
    <row r="11" spans="1:11" ht="18" customHeight="1" x14ac:dyDescent="0.2">
      <c r="C11" s="3" t="s">
        <v>14</v>
      </c>
      <c r="D11" s="4"/>
      <c r="E11" s="6" t="s">
        <v>16</v>
      </c>
      <c r="F11" s="10">
        <v>0.5</v>
      </c>
    </row>
    <row r="12" spans="1:11" ht="18" customHeight="1" x14ac:dyDescent="0.2">
      <c r="C12" s="3" t="s">
        <v>15</v>
      </c>
      <c r="D12" s="4"/>
      <c r="E12" s="6" t="s">
        <v>16</v>
      </c>
      <c r="F12" s="10">
        <f>F10/F11</f>
        <v>200</v>
      </c>
    </row>
    <row r="13" spans="1:11" ht="18" customHeight="1" thickBot="1" x14ac:dyDescent="0.25">
      <c r="C13" s="3" t="s">
        <v>28</v>
      </c>
      <c r="D13" s="4" t="s">
        <v>377</v>
      </c>
      <c r="E13" s="6" t="s">
        <v>300</v>
      </c>
      <c r="F13" s="11">
        <f>F8+F9+F10</f>
        <v>400</v>
      </c>
    </row>
    <row r="14" spans="1:11" ht="13.8" thickBot="1" x14ac:dyDescent="0.25"/>
    <row r="15" spans="1:11" ht="27.75" customHeight="1" x14ac:dyDescent="0.2">
      <c r="A15" s="1" t="s">
        <v>301</v>
      </c>
      <c r="B15" s="1" t="s">
        <v>31</v>
      </c>
      <c r="C15" s="16" t="s">
        <v>36</v>
      </c>
      <c r="F15" s="6"/>
      <c r="G15" s="7" t="s">
        <v>35</v>
      </c>
    </row>
    <row r="16" spans="1:11" ht="20.25" customHeight="1" x14ac:dyDescent="0.2">
      <c r="B16" s="5" t="s">
        <v>12</v>
      </c>
      <c r="C16" s="5" t="s">
        <v>7</v>
      </c>
      <c r="D16" s="5" t="s">
        <v>20</v>
      </c>
      <c r="E16" s="6"/>
      <c r="F16" s="6" t="s">
        <v>178</v>
      </c>
      <c r="G16" s="29" t="s">
        <v>48</v>
      </c>
      <c r="H16" s="26" t="s">
        <v>41</v>
      </c>
      <c r="I16" s="36" t="s">
        <v>127</v>
      </c>
      <c r="J16" s="37" t="s">
        <v>101</v>
      </c>
      <c r="K16" s="5" t="s">
        <v>289</v>
      </c>
    </row>
    <row r="17" spans="2:11" ht="18.75" customHeight="1" x14ac:dyDescent="0.2">
      <c r="B17" s="173" t="s">
        <v>302</v>
      </c>
      <c r="C17" s="176" t="s">
        <v>303</v>
      </c>
      <c r="D17" s="55" t="s">
        <v>291</v>
      </c>
      <c r="E17" s="6" t="s">
        <v>8</v>
      </c>
      <c r="F17" s="62">
        <f>ROUNDUP(F13/10,0)</f>
        <v>40</v>
      </c>
      <c r="G17" s="63" t="s">
        <v>179</v>
      </c>
      <c r="H17" s="26" t="s">
        <v>61</v>
      </c>
      <c r="I17" s="157"/>
      <c r="J17" s="61" t="s">
        <v>180</v>
      </c>
      <c r="K17" s="175" t="s">
        <v>290</v>
      </c>
    </row>
    <row r="18" spans="2:11" ht="18.75" customHeight="1" x14ac:dyDescent="0.2">
      <c r="B18" s="174"/>
      <c r="C18" s="177"/>
      <c r="D18" s="147" t="s">
        <v>292</v>
      </c>
      <c r="E18" s="143" t="s">
        <v>288</v>
      </c>
      <c r="F18" s="142">
        <f>ROUNDUP(F13*0.2/10,0)</f>
        <v>8</v>
      </c>
      <c r="G18" s="146">
        <f>F18</f>
        <v>8</v>
      </c>
      <c r="H18" s="26" t="s">
        <v>304</v>
      </c>
      <c r="I18" s="158"/>
      <c r="J18" s="159">
        <f>G18*I18</f>
        <v>0</v>
      </c>
      <c r="K18" s="175"/>
    </row>
    <row r="19" spans="2:11" ht="18.75" customHeight="1" x14ac:dyDescent="0.2">
      <c r="B19" s="5" t="s">
        <v>9</v>
      </c>
      <c r="C19" s="176" t="s">
        <v>305</v>
      </c>
      <c r="D19" s="175" t="s">
        <v>168</v>
      </c>
      <c r="E19" s="6" t="s">
        <v>8</v>
      </c>
      <c r="F19" s="17">
        <f>F13*4.2/18</f>
        <v>93.333333333333329</v>
      </c>
      <c r="G19" s="186">
        <f>ROUNDUP(F19+F20+F21,0)</f>
        <v>98</v>
      </c>
      <c r="H19" s="69" t="s">
        <v>284</v>
      </c>
      <c r="I19" s="187"/>
      <c r="J19" s="187">
        <f>G19*I19</f>
        <v>0</v>
      </c>
      <c r="K19" s="175" t="s">
        <v>290</v>
      </c>
    </row>
    <row r="20" spans="2:11" ht="18.75" customHeight="1" x14ac:dyDescent="0.2">
      <c r="B20" s="5" t="s">
        <v>124</v>
      </c>
      <c r="C20" s="183"/>
      <c r="D20" s="175"/>
      <c r="E20" s="6" t="s">
        <v>8</v>
      </c>
      <c r="F20" s="17">
        <f>F12*0.2*1/18</f>
        <v>2.2222222222222223</v>
      </c>
      <c r="G20" s="186"/>
      <c r="H20" s="26" t="s">
        <v>313</v>
      </c>
      <c r="I20" s="187"/>
      <c r="J20" s="187"/>
      <c r="K20" s="175"/>
    </row>
    <row r="21" spans="2:11" ht="18.75" customHeight="1" x14ac:dyDescent="0.2">
      <c r="B21" s="5" t="s">
        <v>125</v>
      </c>
      <c r="C21" s="183"/>
      <c r="D21" s="175"/>
      <c r="E21" s="6" t="s">
        <v>8</v>
      </c>
      <c r="F21" s="17">
        <f>F9*0.2/18</f>
        <v>2.2222222222222223</v>
      </c>
      <c r="G21" s="186"/>
      <c r="H21" s="26" t="s">
        <v>313</v>
      </c>
      <c r="I21" s="187"/>
      <c r="J21" s="187"/>
      <c r="K21" s="175"/>
    </row>
    <row r="22" spans="2:11" ht="18.75" customHeight="1" x14ac:dyDescent="0.2">
      <c r="B22" s="144" t="s">
        <v>287</v>
      </c>
      <c r="C22" s="177"/>
      <c r="D22" s="144" t="s">
        <v>286</v>
      </c>
      <c r="E22" s="6" t="s">
        <v>288</v>
      </c>
      <c r="F22" s="17">
        <f>(F19+F20+F21)/23*18</f>
        <v>76.521739130434781</v>
      </c>
      <c r="G22" s="145">
        <f>ROUNDUP(F22,0)</f>
        <v>77</v>
      </c>
      <c r="H22" s="26"/>
      <c r="I22" s="158"/>
      <c r="J22" s="159">
        <f t="shared" ref="J22:J27" si="0">G22*I22</f>
        <v>0</v>
      </c>
      <c r="K22" s="175"/>
    </row>
    <row r="23" spans="2:11" ht="18.75" customHeight="1" x14ac:dyDescent="0.2">
      <c r="B23" s="5" t="s">
        <v>10</v>
      </c>
      <c r="C23" s="8" t="s">
        <v>33</v>
      </c>
      <c r="D23" s="5" t="s">
        <v>17</v>
      </c>
      <c r="E23" s="6" t="s">
        <v>13</v>
      </c>
      <c r="F23" s="17">
        <f>F13*1.1/100</f>
        <v>4.4000000000000004</v>
      </c>
      <c r="G23" s="33">
        <f>ROUNDUP(F23,0)</f>
        <v>5</v>
      </c>
      <c r="H23" s="26" t="s">
        <v>306</v>
      </c>
      <c r="I23" s="159"/>
      <c r="J23" s="159">
        <f t="shared" si="0"/>
        <v>0</v>
      </c>
      <c r="K23" s="3"/>
    </row>
    <row r="24" spans="2:11" ht="18.75" customHeight="1" x14ac:dyDescent="0.2">
      <c r="B24" s="5" t="s">
        <v>11</v>
      </c>
      <c r="C24" s="8" t="s">
        <v>32</v>
      </c>
      <c r="D24" s="5" t="s">
        <v>17</v>
      </c>
      <c r="E24" s="6" t="s">
        <v>13</v>
      </c>
      <c r="F24" s="17">
        <f>F12*1.1/100</f>
        <v>2.2000000000000002</v>
      </c>
      <c r="G24" s="33">
        <f>ROUNDUP(F24,0)</f>
        <v>3</v>
      </c>
      <c r="H24" s="26" t="s">
        <v>307</v>
      </c>
      <c r="I24" s="159"/>
      <c r="J24" s="159">
        <f t="shared" si="0"/>
        <v>0</v>
      </c>
      <c r="K24" s="3"/>
    </row>
    <row r="25" spans="2:11" ht="18.75" customHeight="1" x14ac:dyDescent="0.2">
      <c r="B25" s="5" t="s">
        <v>122</v>
      </c>
      <c r="C25" s="18" t="s">
        <v>314</v>
      </c>
      <c r="D25" s="5" t="s">
        <v>315</v>
      </c>
      <c r="E25" s="6" t="s">
        <v>69</v>
      </c>
      <c r="F25" s="17">
        <f>F9/(0.91*1.82)</f>
        <v>120.75836251660427</v>
      </c>
      <c r="G25" s="59">
        <f>ROUNDUP(F25,0)</f>
        <v>121</v>
      </c>
      <c r="H25" s="26"/>
      <c r="I25" s="159"/>
      <c r="J25" s="159">
        <f t="shared" si="0"/>
        <v>0</v>
      </c>
      <c r="K25" s="175" t="s">
        <v>293</v>
      </c>
    </row>
    <row r="26" spans="2:11" ht="18.75" customHeight="1" x14ac:dyDescent="0.2">
      <c r="B26" s="161" t="s">
        <v>76</v>
      </c>
      <c r="C26" s="162" t="s">
        <v>77</v>
      </c>
      <c r="D26" s="161" t="s">
        <v>164</v>
      </c>
      <c r="E26" s="161" t="s">
        <v>13</v>
      </c>
      <c r="F26" s="163">
        <f>(F8+F9)/(1.8*50)</f>
        <v>3.3333333333333335</v>
      </c>
      <c r="G26" s="33">
        <f>ROUNDUP(F26,0)</f>
        <v>4</v>
      </c>
      <c r="H26" s="164"/>
      <c r="I26" s="159"/>
      <c r="J26" s="159">
        <f t="shared" si="0"/>
        <v>0</v>
      </c>
      <c r="K26" s="175"/>
    </row>
    <row r="27" spans="2:11" ht="18.75" customHeight="1" thickBot="1" x14ac:dyDescent="0.25">
      <c r="B27" s="161" t="s">
        <v>78</v>
      </c>
      <c r="C27" s="162" t="s">
        <v>316</v>
      </c>
      <c r="D27" s="161"/>
      <c r="E27" s="161" t="s">
        <v>317</v>
      </c>
      <c r="F27" s="165">
        <f>F10*12</f>
        <v>1200</v>
      </c>
      <c r="G27" s="32">
        <f>ROUNDUP(F27,-3)</f>
        <v>2000</v>
      </c>
      <c r="H27" s="164" t="s">
        <v>318</v>
      </c>
      <c r="I27" s="159"/>
      <c r="J27" s="159">
        <f t="shared" si="0"/>
        <v>0</v>
      </c>
      <c r="K27" s="175"/>
    </row>
    <row r="28" spans="2:11" ht="20.25" customHeight="1" x14ac:dyDescent="0.2">
      <c r="I28" s="45" t="s">
        <v>128</v>
      </c>
      <c r="J28" s="44">
        <f>SUM(J17:J27)</f>
        <v>0</v>
      </c>
    </row>
    <row r="29" spans="2:11" ht="20.25" customHeight="1" x14ac:dyDescent="0.2">
      <c r="C29" s="1" t="s">
        <v>47</v>
      </c>
      <c r="I29" s="45" t="s">
        <v>129</v>
      </c>
      <c r="J29" s="160">
        <f>J28/F13</f>
        <v>0</v>
      </c>
      <c r="K29" s="1" t="s">
        <v>182</v>
      </c>
    </row>
  </sheetData>
  <mergeCells count="10">
    <mergeCell ref="K25:K27"/>
    <mergeCell ref="B17:B18"/>
    <mergeCell ref="C17:C18"/>
    <mergeCell ref="C19:C22"/>
    <mergeCell ref="K19:K22"/>
    <mergeCell ref="K17:K18"/>
    <mergeCell ref="J19:J21"/>
    <mergeCell ref="D19:D21"/>
    <mergeCell ref="G19:G21"/>
    <mergeCell ref="I19:I21"/>
  </mergeCells>
  <phoneticPr fontId="2"/>
  <pageMargins left="0.48" right="0.2" top="1" bottom="1" header="0.51200000000000001" footer="0.51200000000000001"/>
  <pageSetup paperSize="9" orientation="landscape" horizontalDpi="4294967293" verticalDpi="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/>
  <dimension ref="A4:M32"/>
  <sheetViews>
    <sheetView view="pageBreakPreview" topLeftCell="A12" zoomScale="87" zoomScaleNormal="100" zoomScaleSheetLayoutView="87" workbookViewId="0">
      <selection activeCell="J20" sqref="J20"/>
    </sheetView>
  </sheetViews>
  <sheetFormatPr defaultColWidth="9" defaultRowHeight="13.2" x14ac:dyDescent="0.2"/>
  <cols>
    <col min="1" max="1" width="3.6640625" style="1" customWidth="1"/>
    <col min="2" max="2" width="16.77734375" style="1" customWidth="1"/>
    <col min="3" max="3" width="19.44140625" style="1" customWidth="1"/>
    <col min="4" max="4" width="26.33203125" style="1" customWidth="1"/>
    <col min="5" max="5" width="16.44140625" style="2" bestFit="1" customWidth="1"/>
    <col min="6" max="6" width="3.77734375" style="1" bestFit="1" customWidth="1"/>
    <col min="7" max="7" width="12.77734375" style="1" customWidth="1"/>
    <col min="8" max="8" width="14.77734375" style="1" customWidth="1"/>
    <col min="9" max="9" width="11.33203125" style="1" customWidth="1"/>
    <col min="10" max="10" width="12.109375" style="1" customWidth="1"/>
    <col min="11" max="11" width="11.88671875" style="1" customWidth="1"/>
    <col min="12" max="12" width="13.109375" style="1" customWidth="1"/>
    <col min="13" max="13" width="15.33203125" style="1" customWidth="1"/>
    <col min="14" max="16384" width="9" style="1"/>
  </cols>
  <sheetData>
    <row r="4" spans="1:13" ht="18" customHeight="1" x14ac:dyDescent="0.2">
      <c r="B4" s="13" t="s">
        <v>210</v>
      </c>
      <c r="C4" s="14"/>
      <c r="D4" s="14"/>
      <c r="E4" s="15"/>
      <c r="F4" s="14"/>
      <c r="G4" s="14"/>
    </row>
    <row r="5" spans="1:13" ht="18" customHeight="1" x14ac:dyDescent="0.2">
      <c r="B5" s="47"/>
      <c r="C5" s="14" t="s">
        <v>335</v>
      </c>
      <c r="D5" s="47"/>
    </row>
    <row r="6" spans="1:13" ht="27" customHeight="1" thickBot="1" x14ac:dyDescent="0.25"/>
    <row r="7" spans="1:13" ht="17.25" customHeight="1" x14ac:dyDescent="0.2">
      <c r="A7" s="1" t="s">
        <v>39</v>
      </c>
      <c r="B7" s="1" t="s">
        <v>0</v>
      </c>
      <c r="D7" s="16" t="s">
        <v>59</v>
      </c>
      <c r="E7" s="1"/>
      <c r="F7" s="2"/>
      <c r="G7" s="7" t="s">
        <v>34</v>
      </c>
    </row>
    <row r="8" spans="1:13" ht="21" customHeight="1" x14ac:dyDescent="0.2">
      <c r="D8" s="3" t="s">
        <v>1</v>
      </c>
      <c r="E8" s="4" t="s">
        <v>25</v>
      </c>
      <c r="F8" s="6" t="s">
        <v>4</v>
      </c>
      <c r="G8" s="9">
        <v>300</v>
      </c>
    </row>
    <row r="9" spans="1:13" ht="21" customHeight="1" x14ac:dyDescent="0.2">
      <c r="D9" s="3" t="s">
        <v>2</v>
      </c>
      <c r="E9" s="4" t="s">
        <v>26</v>
      </c>
      <c r="F9" s="6" t="s">
        <v>5</v>
      </c>
      <c r="G9" s="9">
        <v>100</v>
      </c>
    </row>
    <row r="10" spans="1:13" ht="21" customHeight="1" x14ac:dyDescent="0.2">
      <c r="D10" s="3" t="s">
        <v>14</v>
      </c>
      <c r="E10" s="4"/>
      <c r="F10" s="6" t="s">
        <v>16</v>
      </c>
      <c r="G10" s="10">
        <v>0.5</v>
      </c>
    </row>
    <row r="11" spans="1:13" ht="21" customHeight="1" x14ac:dyDescent="0.2">
      <c r="D11" s="3" t="s">
        <v>15</v>
      </c>
      <c r="E11" s="4"/>
      <c r="F11" s="6" t="s">
        <v>16</v>
      </c>
      <c r="G11" s="10">
        <f>G9/G10</f>
        <v>200</v>
      </c>
    </row>
    <row r="12" spans="1:13" ht="21" customHeight="1" x14ac:dyDescent="0.2">
      <c r="D12" s="3" t="s">
        <v>3</v>
      </c>
      <c r="E12" s="4" t="s">
        <v>27</v>
      </c>
      <c r="F12" s="6" t="s">
        <v>6</v>
      </c>
      <c r="G12" s="9"/>
    </row>
    <row r="13" spans="1:13" ht="21" customHeight="1" thickBot="1" x14ac:dyDescent="0.25">
      <c r="D13" s="3" t="s">
        <v>28</v>
      </c>
      <c r="E13" s="4" t="s">
        <v>29</v>
      </c>
      <c r="F13" s="6" t="s">
        <v>30</v>
      </c>
      <c r="G13" s="11">
        <f>G8+G9+G12</f>
        <v>400</v>
      </c>
    </row>
    <row r="14" spans="1:13" ht="13.8" thickBot="1" x14ac:dyDescent="0.25">
      <c r="E14" s="1"/>
      <c r="F14" s="2"/>
    </row>
    <row r="15" spans="1:13" ht="30.75" customHeight="1" x14ac:dyDescent="0.2">
      <c r="A15" s="1" t="s">
        <v>40</v>
      </c>
      <c r="B15" s="1" t="s">
        <v>31</v>
      </c>
      <c r="D15" s="16" t="s">
        <v>36</v>
      </c>
      <c r="E15" s="1"/>
      <c r="F15" s="2"/>
      <c r="G15" s="5" t="s">
        <v>21</v>
      </c>
      <c r="H15" s="6" t="s">
        <v>22</v>
      </c>
      <c r="I15" s="7" t="s">
        <v>35</v>
      </c>
    </row>
    <row r="16" spans="1:13" ht="21" customHeight="1" x14ac:dyDescent="0.2">
      <c r="B16" s="5" t="s">
        <v>12</v>
      </c>
      <c r="C16" s="5"/>
      <c r="D16" s="5" t="s">
        <v>7</v>
      </c>
      <c r="E16" s="5" t="s">
        <v>20</v>
      </c>
      <c r="F16" s="6"/>
      <c r="G16" s="193"/>
      <c r="H16" s="194"/>
      <c r="I16" s="29" t="s">
        <v>48</v>
      </c>
      <c r="J16" s="26" t="s">
        <v>41</v>
      </c>
      <c r="K16" s="36" t="s">
        <v>127</v>
      </c>
      <c r="L16" s="37" t="s">
        <v>101</v>
      </c>
      <c r="M16" s="5" t="s">
        <v>211</v>
      </c>
    </row>
    <row r="17" spans="2:13" ht="18" customHeight="1" x14ac:dyDescent="0.2">
      <c r="B17" s="173" t="s">
        <v>60</v>
      </c>
      <c r="C17" s="55"/>
      <c r="D17" s="176" t="s">
        <v>174</v>
      </c>
      <c r="E17" s="55" t="s">
        <v>175</v>
      </c>
      <c r="F17" s="6" t="s">
        <v>8</v>
      </c>
      <c r="G17" s="196">
        <f>ROUNDUP(G13/10,0)</f>
        <v>40</v>
      </c>
      <c r="H17" s="197"/>
      <c r="I17" s="63" t="s">
        <v>179</v>
      </c>
      <c r="J17" s="26" t="s">
        <v>62</v>
      </c>
      <c r="K17" s="60"/>
      <c r="L17" s="61" t="s">
        <v>180</v>
      </c>
      <c r="M17" s="173" t="s">
        <v>290</v>
      </c>
    </row>
    <row r="18" spans="2:13" ht="18" customHeight="1" x14ac:dyDescent="0.2">
      <c r="B18" s="174"/>
      <c r="C18" s="55"/>
      <c r="D18" s="177"/>
      <c r="E18" s="147" t="s">
        <v>292</v>
      </c>
      <c r="F18" s="143" t="s">
        <v>288</v>
      </c>
      <c r="G18" s="198">
        <f>ROUNDUP(G13*0.2/10,0)</f>
        <v>8</v>
      </c>
      <c r="H18" s="199"/>
      <c r="I18" s="148">
        <f>G18</f>
        <v>8</v>
      </c>
      <c r="J18" s="26" t="s">
        <v>61</v>
      </c>
      <c r="K18" s="141"/>
      <c r="L18" s="39">
        <f>I18*K18</f>
        <v>0</v>
      </c>
      <c r="M18" s="174"/>
    </row>
    <row r="19" spans="2:13" ht="18" customHeight="1" x14ac:dyDescent="0.2">
      <c r="B19" s="68" t="s">
        <v>9</v>
      </c>
      <c r="C19" s="5"/>
      <c r="D19" s="176" t="s">
        <v>24</v>
      </c>
      <c r="E19" s="175" t="s">
        <v>168</v>
      </c>
      <c r="F19" s="6" t="s">
        <v>8</v>
      </c>
      <c r="G19" s="191">
        <f>G13*2/18</f>
        <v>44.444444444444443</v>
      </c>
      <c r="H19" s="195"/>
      <c r="I19" s="184">
        <f>ROUNDUP(G19+G20,0)</f>
        <v>47</v>
      </c>
      <c r="J19" s="69" t="s">
        <v>297</v>
      </c>
      <c r="K19" s="178"/>
      <c r="L19" s="178">
        <f>I19*K19</f>
        <v>0</v>
      </c>
      <c r="M19" s="175" t="s">
        <v>290</v>
      </c>
    </row>
    <row r="20" spans="2:13" ht="18" customHeight="1" x14ac:dyDescent="0.2">
      <c r="B20" s="68" t="s">
        <v>23</v>
      </c>
      <c r="C20" s="5"/>
      <c r="D20" s="183"/>
      <c r="E20" s="175"/>
      <c r="F20" s="6" t="s">
        <v>8</v>
      </c>
      <c r="G20" s="191">
        <f>G11*0.2*1/18</f>
        <v>2.2222222222222223</v>
      </c>
      <c r="H20" s="195"/>
      <c r="I20" s="184"/>
      <c r="J20" s="26" t="s">
        <v>73</v>
      </c>
      <c r="K20" s="179"/>
      <c r="L20" s="179"/>
      <c r="M20" s="175"/>
    </row>
    <row r="21" spans="2:13" ht="18" customHeight="1" x14ac:dyDescent="0.2">
      <c r="B21" s="188" t="s">
        <v>287</v>
      </c>
      <c r="C21" s="189"/>
      <c r="D21" s="177"/>
      <c r="E21" s="144" t="s">
        <v>286</v>
      </c>
      <c r="F21" s="6" t="s">
        <v>288</v>
      </c>
      <c r="G21" s="191">
        <f>(G19+G20)/23*18</f>
        <v>36.521739130434774</v>
      </c>
      <c r="H21" s="192"/>
      <c r="I21" s="145">
        <f>ROUNDUP(G21,0)</f>
        <v>37</v>
      </c>
      <c r="J21" s="26"/>
      <c r="K21" s="141"/>
      <c r="L21" s="39">
        <f>I21*K21</f>
        <v>0</v>
      </c>
      <c r="M21" s="175"/>
    </row>
    <row r="22" spans="2:13" ht="18" customHeight="1" x14ac:dyDescent="0.2">
      <c r="B22" s="68" t="s">
        <v>91</v>
      </c>
      <c r="C22" s="67"/>
      <c r="D22" s="18" t="s">
        <v>92</v>
      </c>
      <c r="E22" s="5" t="s">
        <v>171</v>
      </c>
      <c r="F22" s="6" t="s">
        <v>8</v>
      </c>
      <c r="G22" s="191">
        <f>G12*0.8/15</f>
        <v>0</v>
      </c>
      <c r="H22" s="195"/>
      <c r="I22" s="59">
        <f>ROUNDUP(G22,0)</f>
        <v>0</v>
      </c>
      <c r="J22" s="26" t="s">
        <v>93</v>
      </c>
      <c r="K22" s="39"/>
      <c r="L22" s="39">
        <f t="shared" ref="L22:L30" si="0">I22*K22</f>
        <v>0</v>
      </c>
      <c r="M22" s="3" t="s">
        <v>94</v>
      </c>
    </row>
    <row r="23" spans="2:13" ht="18" customHeight="1" x14ac:dyDescent="0.2">
      <c r="B23" s="68" t="s">
        <v>10</v>
      </c>
      <c r="C23" s="5"/>
      <c r="D23" s="8" t="s">
        <v>33</v>
      </c>
      <c r="E23" s="5" t="s">
        <v>17</v>
      </c>
      <c r="F23" s="6" t="s">
        <v>13</v>
      </c>
      <c r="G23" s="191">
        <f>G13*1.1/100</f>
        <v>4.4000000000000004</v>
      </c>
      <c r="H23" s="195"/>
      <c r="I23" s="65">
        <f>ROUNDUP(G23,0)</f>
        <v>5</v>
      </c>
      <c r="J23" s="26" t="s">
        <v>43</v>
      </c>
      <c r="K23" s="39"/>
      <c r="L23" s="39">
        <f t="shared" si="0"/>
        <v>0</v>
      </c>
      <c r="M23" s="3"/>
    </row>
    <row r="24" spans="2:13" ht="18" customHeight="1" x14ac:dyDescent="0.2">
      <c r="B24" s="5" t="s">
        <v>11</v>
      </c>
      <c r="C24" s="5"/>
      <c r="D24" s="8" t="s">
        <v>32</v>
      </c>
      <c r="E24" s="5" t="s">
        <v>17</v>
      </c>
      <c r="F24" s="6" t="s">
        <v>13</v>
      </c>
      <c r="G24" s="193">
        <f>G11*1.1/100</f>
        <v>2.2000000000000002</v>
      </c>
      <c r="H24" s="194"/>
      <c r="I24" s="65">
        <f>ROUNDUP(G24,0)</f>
        <v>3</v>
      </c>
      <c r="J24" s="26" t="s">
        <v>44</v>
      </c>
      <c r="K24" s="39"/>
      <c r="L24" s="39">
        <f t="shared" si="0"/>
        <v>0</v>
      </c>
      <c r="M24" s="3"/>
    </row>
    <row r="25" spans="2:13" ht="18" customHeight="1" x14ac:dyDescent="0.2">
      <c r="B25" s="173" t="s">
        <v>200</v>
      </c>
      <c r="C25" s="5" t="s">
        <v>202</v>
      </c>
      <c r="D25" s="8" t="s">
        <v>37</v>
      </c>
      <c r="E25" s="5" t="s">
        <v>18</v>
      </c>
      <c r="F25" s="6" t="s">
        <v>8</v>
      </c>
      <c r="G25" s="19">
        <f>G13*1/20</f>
        <v>20</v>
      </c>
      <c r="H25" s="20"/>
      <c r="I25" s="65">
        <f>ROUNDUP(G25,0)</f>
        <v>20</v>
      </c>
      <c r="J25" s="26" t="s">
        <v>45</v>
      </c>
      <c r="K25" s="39"/>
      <c r="L25" s="39">
        <f t="shared" si="0"/>
        <v>0</v>
      </c>
      <c r="M25" s="173" t="s">
        <v>172</v>
      </c>
    </row>
    <row r="26" spans="2:13" ht="18" customHeight="1" thickBot="1" x14ac:dyDescent="0.25">
      <c r="B26" s="190"/>
      <c r="C26" s="5" t="s">
        <v>203</v>
      </c>
      <c r="D26" s="8" t="s">
        <v>38</v>
      </c>
      <c r="E26" s="5" t="s">
        <v>19</v>
      </c>
      <c r="F26" s="6" t="s">
        <v>8</v>
      </c>
      <c r="G26" s="21"/>
      <c r="H26" s="17">
        <f>G13*0.3/15</f>
        <v>8</v>
      </c>
      <c r="I26" s="66">
        <f>ROUNDUP(H26,0)</f>
        <v>8</v>
      </c>
      <c r="J26" s="26" t="s">
        <v>46</v>
      </c>
      <c r="K26" s="39"/>
      <c r="L26" s="39">
        <f t="shared" si="0"/>
        <v>0</v>
      </c>
      <c r="M26" s="190"/>
    </row>
    <row r="27" spans="2:13" ht="18" customHeight="1" thickBot="1" x14ac:dyDescent="0.25">
      <c r="B27" s="190"/>
      <c r="C27" s="5" t="s">
        <v>270</v>
      </c>
      <c r="D27" s="8" t="s">
        <v>271</v>
      </c>
      <c r="E27" s="5" t="s">
        <v>18</v>
      </c>
      <c r="F27" s="6" t="s">
        <v>8</v>
      </c>
      <c r="G27" s="191">
        <f>G13*0.5/20</f>
        <v>10</v>
      </c>
      <c r="H27" s="192"/>
      <c r="I27" s="52">
        <f>ROUNDUP(G27,0)</f>
        <v>10</v>
      </c>
      <c r="J27" s="26" t="s">
        <v>184</v>
      </c>
      <c r="K27" s="39"/>
      <c r="L27" s="39"/>
      <c r="M27" s="190"/>
    </row>
    <row r="28" spans="2:13" ht="18" customHeight="1" thickBot="1" x14ac:dyDescent="0.25">
      <c r="B28" s="190"/>
      <c r="C28" s="5" t="s">
        <v>272</v>
      </c>
      <c r="D28" s="8" t="s">
        <v>273</v>
      </c>
      <c r="E28" s="5" t="s">
        <v>18</v>
      </c>
      <c r="F28" s="6" t="s">
        <v>8</v>
      </c>
      <c r="G28" s="191">
        <f>G13*0.8/20</f>
        <v>16</v>
      </c>
      <c r="H28" s="192"/>
      <c r="I28" s="52">
        <f>ROUNDUP(G28,0)</f>
        <v>16</v>
      </c>
      <c r="J28" s="26" t="s">
        <v>274</v>
      </c>
      <c r="K28" s="39"/>
      <c r="L28" s="39"/>
      <c r="M28" s="190"/>
    </row>
    <row r="29" spans="2:13" ht="18" customHeight="1" x14ac:dyDescent="0.2">
      <c r="B29" s="190"/>
      <c r="C29" s="5" t="s">
        <v>156</v>
      </c>
      <c r="D29" s="8" t="s">
        <v>170</v>
      </c>
      <c r="E29" s="5" t="s">
        <v>18</v>
      </c>
      <c r="F29" s="6" t="s">
        <v>8</v>
      </c>
      <c r="G29" s="19">
        <f>G13*1/20</f>
        <v>20</v>
      </c>
      <c r="H29" s="20"/>
      <c r="I29" s="65">
        <f>ROUNDUP(G29,0)</f>
        <v>20</v>
      </c>
      <c r="J29" s="26" t="s">
        <v>183</v>
      </c>
      <c r="K29" s="39"/>
      <c r="L29" s="39">
        <f t="shared" si="0"/>
        <v>0</v>
      </c>
      <c r="M29" s="190"/>
    </row>
    <row r="30" spans="2:13" ht="18" customHeight="1" thickBot="1" x14ac:dyDescent="0.25">
      <c r="B30" s="174"/>
      <c r="C30" s="5" t="s">
        <v>157</v>
      </c>
      <c r="D30" s="8" t="s">
        <v>173</v>
      </c>
      <c r="E30" s="5" t="s">
        <v>19</v>
      </c>
      <c r="F30" s="6" t="s">
        <v>8</v>
      </c>
      <c r="G30" s="21"/>
      <c r="H30" s="17">
        <f>G13*0.5/15</f>
        <v>13.333333333333334</v>
      </c>
      <c r="I30" s="66">
        <f>ROUNDUP(H30,0)</f>
        <v>14</v>
      </c>
      <c r="J30" s="26" t="s">
        <v>184</v>
      </c>
      <c r="K30" s="39"/>
      <c r="L30" s="39">
        <f t="shared" si="0"/>
        <v>0</v>
      </c>
      <c r="M30" s="174"/>
    </row>
    <row r="31" spans="2:13" ht="17.25" customHeight="1" x14ac:dyDescent="0.2">
      <c r="B31" s="1" t="s">
        <v>204</v>
      </c>
      <c r="K31" s="45" t="s">
        <v>128</v>
      </c>
      <c r="L31" s="46">
        <f>SUM(L17:L30)</f>
        <v>0</v>
      </c>
    </row>
    <row r="32" spans="2:13" ht="17.25" customHeight="1" x14ac:dyDescent="0.2">
      <c r="C32" s="1" t="s">
        <v>47</v>
      </c>
      <c r="K32" s="45" t="s">
        <v>129</v>
      </c>
      <c r="L32" s="46">
        <f>L31/G13</f>
        <v>0</v>
      </c>
      <c r="M32" s="1" t="s">
        <v>182</v>
      </c>
    </row>
  </sheetData>
  <mergeCells count="23">
    <mergeCell ref="G16:H16"/>
    <mergeCell ref="G19:H19"/>
    <mergeCell ref="G17:H17"/>
    <mergeCell ref="G24:H24"/>
    <mergeCell ref="G20:H20"/>
    <mergeCell ref="G22:H22"/>
    <mergeCell ref="G23:H23"/>
    <mergeCell ref="G18:H18"/>
    <mergeCell ref="B25:B30"/>
    <mergeCell ref="M25:M30"/>
    <mergeCell ref="L19:L20"/>
    <mergeCell ref="G27:H27"/>
    <mergeCell ref="E19:E20"/>
    <mergeCell ref="I19:I20"/>
    <mergeCell ref="G28:H28"/>
    <mergeCell ref="G21:H21"/>
    <mergeCell ref="B17:B18"/>
    <mergeCell ref="B21:C21"/>
    <mergeCell ref="M17:M18"/>
    <mergeCell ref="M19:M21"/>
    <mergeCell ref="D19:D21"/>
    <mergeCell ref="D17:D18"/>
    <mergeCell ref="K19:K20"/>
  </mergeCells>
  <phoneticPr fontId="2"/>
  <pageMargins left="0.75" right="0.75" top="1" bottom="1" header="0.51200000000000001" footer="0.51200000000000001"/>
  <pageSetup paperSize="9" scale="70" orientation="landscape" horizontalDpi="4294967293" verticalDpi="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4:M32"/>
  <sheetViews>
    <sheetView topLeftCell="A13" workbookViewId="0">
      <selection activeCell="G20" sqref="G20:H20"/>
    </sheetView>
  </sheetViews>
  <sheetFormatPr defaultColWidth="9" defaultRowHeight="13.2" x14ac:dyDescent="0.2"/>
  <cols>
    <col min="1" max="1" width="3.6640625" style="1" customWidth="1"/>
    <col min="2" max="2" width="13.109375" style="1" customWidth="1"/>
    <col min="3" max="3" width="20" style="1" customWidth="1"/>
    <col min="4" max="4" width="27.109375" style="1" customWidth="1"/>
    <col min="5" max="5" width="16.44140625" style="2" bestFit="1" customWidth="1"/>
    <col min="6" max="6" width="3.77734375" style="1" bestFit="1" customWidth="1"/>
    <col min="7" max="8" width="12.77734375" style="1" customWidth="1"/>
    <col min="9" max="9" width="11.33203125" style="1" customWidth="1"/>
    <col min="10" max="10" width="12.109375" style="1" customWidth="1"/>
    <col min="11" max="11" width="11.88671875" style="1" customWidth="1"/>
    <col min="12" max="12" width="13.33203125" style="1" customWidth="1"/>
    <col min="13" max="13" width="15" style="1" customWidth="1"/>
    <col min="14" max="16384" width="9" style="1"/>
  </cols>
  <sheetData>
    <row r="4" spans="1:13" ht="18" customHeight="1" x14ac:dyDescent="0.2">
      <c r="B4" s="13" t="s">
        <v>209</v>
      </c>
      <c r="C4" s="14"/>
      <c r="D4" s="14"/>
      <c r="E4" s="15"/>
      <c r="G4" s="14"/>
    </row>
    <row r="5" spans="1:13" ht="18" customHeight="1" x14ac:dyDescent="0.2">
      <c r="B5" s="47"/>
      <c r="C5" s="14" t="s">
        <v>336</v>
      </c>
      <c r="D5" s="47"/>
    </row>
    <row r="6" spans="1:13" ht="27" customHeight="1" thickBot="1" x14ac:dyDescent="0.25"/>
    <row r="7" spans="1:13" ht="17.25" customHeight="1" x14ac:dyDescent="0.2">
      <c r="A7" s="1" t="s">
        <v>83</v>
      </c>
      <c r="B7" s="1" t="s">
        <v>0</v>
      </c>
      <c r="D7" s="16" t="s">
        <v>59</v>
      </c>
      <c r="E7" s="1"/>
      <c r="F7" s="2"/>
      <c r="G7" s="7" t="s">
        <v>34</v>
      </c>
    </row>
    <row r="8" spans="1:13" ht="21" customHeight="1" x14ac:dyDescent="0.2">
      <c r="D8" s="3" t="s">
        <v>1</v>
      </c>
      <c r="E8" s="4" t="s">
        <v>51</v>
      </c>
      <c r="F8" s="6" t="s">
        <v>52</v>
      </c>
      <c r="G8" s="9">
        <v>300</v>
      </c>
    </row>
    <row r="9" spans="1:13" ht="21" customHeight="1" x14ac:dyDescent="0.2">
      <c r="D9" s="3" t="s">
        <v>2</v>
      </c>
      <c r="E9" s="4" t="s">
        <v>53</v>
      </c>
      <c r="F9" s="6" t="s">
        <v>52</v>
      </c>
      <c r="G9" s="9">
        <v>100</v>
      </c>
    </row>
    <row r="10" spans="1:13" ht="21" customHeight="1" x14ac:dyDescent="0.2">
      <c r="D10" s="3" t="s">
        <v>14</v>
      </c>
      <c r="E10" s="4"/>
      <c r="F10" s="6" t="s">
        <v>16</v>
      </c>
      <c r="G10" s="10">
        <v>0.5</v>
      </c>
    </row>
    <row r="11" spans="1:13" ht="21" customHeight="1" x14ac:dyDescent="0.2">
      <c r="D11" s="3" t="s">
        <v>15</v>
      </c>
      <c r="E11" s="4"/>
      <c r="F11" s="6" t="s">
        <v>16</v>
      </c>
      <c r="G11" s="10">
        <f>G9/G10</f>
        <v>200</v>
      </c>
    </row>
    <row r="12" spans="1:13" ht="21" customHeight="1" x14ac:dyDescent="0.2">
      <c r="D12" s="3" t="s">
        <v>3</v>
      </c>
      <c r="E12" s="4" t="s">
        <v>84</v>
      </c>
      <c r="F12" s="6" t="s">
        <v>85</v>
      </c>
      <c r="G12" s="9"/>
    </row>
    <row r="13" spans="1:13" ht="21" customHeight="1" thickBot="1" x14ac:dyDescent="0.25">
      <c r="D13" s="3" t="s">
        <v>28</v>
      </c>
      <c r="E13" s="4" t="s">
        <v>54</v>
      </c>
      <c r="F13" s="6" t="s">
        <v>55</v>
      </c>
      <c r="G13" s="11">
        <f>G8+G9+G12</f>
        <v>400</v>
      </c>
    </row>
    <row r="14" spans="1:13" ht="13.8" thickBot="1" x14ac:dyDescent="0.25">
      <c r="E14" s="1"/>
      <c r="F14" s="2"/>
    </row>
    <row r="15" spans="1:13" ht="24" customHeight="1" x14ac:dyDescent="0.2">
      <c r="A15" s="1" t="s">
        <v>56</v>
      </c>
      <c r="B15" s="1" t="s">
        <v>31</v>
      </c>
      <c r="D15" s="16" t="s">
        <v>36</v>
      </c>
      <c r="E15" s="1"/>
      <c r="F15" s="2"/>
      <c r="G15" s="5" t="s">
        <v>177</v>
      </c>
      <c r="H15" s="6" t="s">
        <v>176</v>
      </c>
      <c r="I15" s="7" t="s">
        <v>35</v>
      </c>
    </row>
    <row r="16" spans="1:13" ht="21" customHeight="1" x14ac:dyDescent="0.2">
      <c r="B16" s="5" t="s">
        <v>12</v>
      </c>
      <c r="C16" s="5"/>
      <c r="D16" s="5" t="s">
        <v>7</v>
      </c>
      <c r="E16" s="5" t="s">
        <v>20</v>
      </c>
      <c r="F16" s="6"/>
      <c r="G16" s="193"/>
      <c r="H16" s="194"/>
      <c r="I16" s="29" t="s">
        <v>48</v>
      </c>
      <c r="J16" s="26" t="s">
        <v>41</v>
      </c>
      <c r="K16" s="36" t="s">
        <v>127</v>
      </c>
      <c r="L16" s="37" t="s">
        <v>101</v>
      </c>
      <c r="M16" s="5" t="s">
        <v>211</v>
      </c>
    </row>
    <row r="17" spans="2:13" ht="18" customHeight="1" x14ac:dyDescent="0.2">
      <c r="B17" s="173" t="s">
        <v>198</v>
      </c>
      <c r="C17" s="55"/>
      <c r="D17" s="176" t="s">
        <v>174</v>
      </c>
      <c r="E17" s="55" t="s">
        <v>175</v>
      </c>
      <c r="F17" s="6" t="s">
        <v>8</v>
      </c>
      <c r="G17" s="196">
        <f>ROUNDUP(G13/10,0)</f>
        <v>40</v>
      </c>
      <c r="H17" s="197"/>
      <c r="I17" s="63" t="s">
        <v>179</v>
      </c>
      <c r="J17" s="26" t="s">
        <v>61</v>
      </c>
      <c r="K17" s="60"/>
      <c r="L17" s="61" t="s">
        <v>180</v>
      </c>
      <c r="M17" s="173" t="s">
        <v>290</v>
      </c>
    </row>
    <row r="18" spans="2:13" ht="18" customHeight="1" x14ac:dyDescent="0.2">
      <c r="B18" s="174"/>
      <c r="C18" s="55"/>
      <c r="D18" s="177"/>
      <c r="E18" s="147" t="s">
        <v>292</v>
      </c>
      <c r="F18" s="143" t="s">
        <v>288</v>
      </c>
      <c r="G18" s="198">
        <f>ROUNDUP(G13*0.2/10,0)</f>
        <v>8</v>
      </c>
      <c r="H18" s="199"/>
      <c r="I18" s="148">
        <f>G18</f>
        <v>8</v>
      </c>
      <c r="J18" s="26" t="s">
        <v>61</v>
      </c>
      <c r="K18" s="141"/>
      <c r="L18" s="39">
        <f>I18*K18</f>
        <v>0</v>
      </c>
      <c r="M18" s="174"/>
    </row>
    <row r="19" spans="2:13" ht="18" customHeight="1" x14ac:dyDescent="0.2">
      <c r="B19" s="5" t="s">
        <v>9</v>
      </c>
      <c r="C19" s="5"/>
      <c r="D19" s="176" t="s">
        <v>188</v>
      </c>
      <c r="E19" s="175" t="s">
        <v>168</v>
      </c>
      <c r="F19" s="6" t="s">
        <v>8</v>
      </c>
      <c r="G19" s="191">
        <f>G13*4/18</f>
        <v>88.888888888888886</v>
      </c>
      <c r="H19" s="195"/>
      <c r="I19" s="184">
        <f>ROUNDUP(G19+G20,0)</f>
        <v>92</v>
      </c>
      <c r="J19" s="69" t="s">
        <v>296</v>
      </c>
      <c r="K19" s="178"/>
      <c r="L19" s="178">
        <f>I19*K19</f>
        <v>0</v>
      </c>
      <c r="M19" s="175" t="s">
        <v>290</v>
      </c>
    </row>
    <row r="20" spans="2:13" ht="18" customHeight="1" x14ac:dyDescent="0.2">
      <c r="B20" s="5" t="s">
        <v>23</v>
      </c>
      <c r="C20" s="5"/>
      <c r="D20" s="183"/>
      <c r="E20" s="175"/>
      <c r="F20" s="6" t="s">
        <v>8</v>
      </c>
      <c r="G20" s="191">
        <f>G11*0.2*1/18</f>
        <v>2.2222222222222223</v>
      </c>
      <c r="H20" s="195"/>
      <c r="I20" s="184"/>
      <c r="J20" s="26" t="s">
        <v>73</v>
      </c>
      <c r="K20" s="179"/>
      <c r="L20" s="179"/>
      <c r="M20" s="175"/>
    </row>
    <row r="21" spans="2:13" ht="18" customHeight="1" x14ac:dyDescent="0.2">
      <c r="B21" s="188" t="s">
        <v>287</v>
      </c>
      <c r="C21" s="189"/>
      <c r="D21" s="177"/>
      <c r="E21" s="144" t="s">
        <v>286</v>
      </c>
      <c r="F21" s="6" t="s">
        <v>288</v>
      </c>
      <c r="G21" s="191">
        <f>(G19+G20)/23*18</f>
        <v>71.304347826086968</v>
      </c>
      <c r="H21" s="192"/>
      <c r="I21" s="145">
        <f>ROUNDUP(G21,0)</f>
        <v>72</v>
      </c>
      <c r="J21" s="26"/>
      <c r="K21" s="141"/>
      <c r="L21" s="39">
        <f>I21*K21</f>
        <v>0</v>
      </c>
      <c r="M21" s="175"/>
    </row>
    <row r="22" spans="2:13" ht="18" customHeight="1" x14ac:dyDescent="0.2">
      <c r="B22" s="5" t="s">
        <v>91</v>
      </c>
      <c r="C22" s="67"/>
      <c r="D22" s="18" t="s">
        <v>95</v>
      </c>
      <c r="E22" s="5" t="s">
        <v>171</v>
      </c>
      <c r="F22" s="6" t="s">
        <v>8</v>
      </c>
      <c r="G22" s="191">
        <f>G12*0.8/15</f>
        <v>0</v>
      </c>
      <c r="H22" s="195"/>
      <c r="I22" s="59">
        <f>ROUNDUP(G22,0)</f>
        <v>0</v>
      </c>
      <c r="J22" s="26" t="s">
        <v>96</v>
      </c>
      <c r="K22" s="39"/>
      <c r="L22" s="39">
        <f t="shared" ref="L22:L30" si="0">I22*K22</f>
        <v>0</v>
      </c>
      <c r="M22" s="3" t="s">
        <v>94</v>
      </c>
    </row>
    <row r="23" spans="2:13" ht="18" customHeight="1" x14ac:dyDescent="0.2">
      <c r="B23" s="5" t="s">
        <v>10</v>
      </c>
      <c r="C23" s="5"/>
      <c r="D23" s="8" t="s">
        <v>33</v>
      </c>
      <c r="E23" s="5" t="s">
        <v>17</v>
      </c>
      <c r="F23" s="6" t="s">
        <v>13</v>
      </c>
      <c r="G23" s="191">
        <f>G13*1.1/100</f>
        <v>4.4000000000000004</v>
      </c>
      <c r="H23" s="195"/>
      <c r="I23" s="65">
        <f>ROUNDUP(G23,0)</f>
        <v>5</v>
      </c>
      <c r="J23" s="26" t="s">
        <v>57</v>
      </c>
      <c r="K23" s="39"/>
      <c r="L23" s="39">
        <f t="shared" si="0"/>
        <v>0</v>
      </c>
      <c r="M23" s="3"/>
    </row>
    <row r="24" spans="2:13" ht="18" customHeight="1" x14ac:dyDescent="0.2">
      <c r="B24" s="5" t="s">
        <v>11</v>
      </c>
      <c r="C24" s="5"/>
      <c r="D24" s="8" t="s">
        <v>32</v>
      </c>
      <c r="E24" s="5" t="s">
        <v>17</v>
      </c>
      <c r="F24" s="6" t="s">
        <v>13</v>
      </c>
      <c r="G24" s="191">
        <f>G11*1.1/100</f>
        <v>2.2000000000000002</v>
      </c>
      <c r="H24" s="195"/>
      <c r="I24" s="65">
        <f>ROUNDUP(G24,0)</f>
        <v>3</v>
      </c>
      <c r="J24" s="26" t="s">
        <v>58</v>
      </c>
      <c r="K24" s="39"/>
      <c r="L24" s="39">
        <f t="shared" si="0"/>
        <v>0</v>
      </c>
      <c r="M24" s="3"/>
    </row>
    <row r="25" spans="2:13" ht="18" customHeight="1" x14ac:dyDescent="0.2">
      <c r="B25" s="173" t="s">
        <v>200</v>
      </c>
      <c r="C25" s="5" t="s">
        <v>202</v>
      </c>
      <c r="D25" s="8" t="s">
        <v>87</v>
      </c>
      <c r="E25" s="5" t="s">
        <v>18</v>
      </c>
      <c r="F25" s="6" t="s">
        <v>8</v>
      </c>
      <c r="G25" s="19">
        <f>G13*1/20</f>
        <v>20</v>
      </c>
      <c r="H25" s="20"/>
      <c r="I25" s="65">
        <f>ROUNDUP(G25,0)</f>
        <v>20</v>
      </c>
      <c r="J25" s="26" t="s">
        <v>88</v>
      </c>
      <c r="K25" s="39"/>
      <c r="L25" s="39">
        <f t="shared" si="0"/>
        <v>0</v>
      </c>
      <c r="M25" s="173" t="s">
        <v>172</v>
      </c>
    </row>
    <row r="26" spans="2:13" ht="18" customHeight="1" thickBot="1" x14ac:dyDescent="0.25">
      <c r="B26" s="190"/>
      <c r="C26" s="5" t="s">
        <v>203</v>
      </c>
      <c r="D26" s="8" t="s">
        <v>89</v>
      </c>
      <c r="E26" s="5" t="s">
        <v>19</v>
      </c>
      <c r="F26" s="6" t="s">
        <v>8</v>
      </c>
      <c r="G26" s="21"/>
      <c r="H26" s="17">
        <f>G13*0.3/15</f>
        <v>8</v>
      </c>
      <c r="I26" s="66">
        <f>ROUNDUP(H26,0)</f>
        <v>8</v>
      </c>
      <c r="J26" s="26" t="s">
        <v>90</v>
      </c>
      <c r="K26" s="39"/>
      <c r="L26" s="39">
        <f t="shared" si="0"/>
        <v>0</v>
      </c>
      <c r="M26" s="190"/>
    </row>
    <row r="27" spans="2:13" ht="18" customHeight="1" thickBot="1" x14ac:dyDescent="0.25">
      <c r="B27" s="190"/>
      <c r="C27" s="5" t="s">
        <v>270</v>
      </c>
      <c r="D27" s="8" t="s">
        <v>271</v>
      </c>
      <c r="E27" s="5" t="s">
        <v>18</v>
      </c>
      <c r="F27" s="6" t="s">
        <v>8</v>
      </c>
      <c r="G27" s="191">
        <f>G13*0.5/20</f>
        <v>10</v>
      </c>
      <c r="H27" s="192"/>
      <c r="I27" s="52">
        <f>ROUNDUP(G27,0)</f>
        <v>10</v>
      </c>
      <c r="J27" s="26" t="s">
        <v>184</v>
      </c>
      <c r="K27" s="39"/>
      <c r="L27" s="39"/>
      <c r="M27" s="190"/>
    </row>
    <row r="28" spans="2:13" ht="18" customHeight="1" thickBot="1" x14ac:dyDescent="0.25">
      <c r="B28" s="190"/>
      <c r="C28" s="5" t="s">
        <v>272</v>
      </c>
      <c r="D28" s="8" t="s">
        <v>273</v>
      </c>
      <c r="E28" s="5" t="s">
        <v>18</v>
      </c>
      <c r="F28" s="6" t="s">
        <v>8</v>
      </c>
      <c r="G28" s="191">
        <f>G13*0.8/20</f>
        <v>16</v>
      </c>
      <c r="H28" s="192"/>
      <c r="I28" s="52">
        <f>ROUNDUP(G28,0)</f>
        <v>16</v>
      </c>
      <c r="J28" s="26" t="s">
        <v>274</v>
      </c>
      <c r="K28" s="39"/>
      <c r="L28" s="39"/>
      <c r="M28" s="190"/>
    </row>
    <row r="29" spans="2:13" ht="18" customHeight="1" x14ac:dyDescent="0.2">
      <c r="B29" s="190"/>
      <c r="C29" s="5" t="s">
        <v>156</v>
      </c>
      <c r="D29" s="8" t="s">
        <v>170</v>
      </c>
      <c r="E29" s="5" t="s">
        <v>18</v>
      </c>
      <c r="F29" s="6" t="s">
        <v>8</v>
      </c>
      <c r="G29" s="19">
        <f>G13*1/20</f>
        <v>20</v>
      </c>
      <c r="H29" s="20"/>
      <c r="I29" s="65">
        <f>ROUNDUP(G29,0)</f>
        <v>20</v>
      </c>
      <c r="J29" s="26" t="s">
        <v>183</v>
      </c>
      <c r="K29" s="39"/>
      <c r="L29" s="39">
        <f t="shared" si="0"/>
        <v>0</v>
      </c>
      <c r="M29" s="190"/>
    </row>
    <row r="30" spans="2:13" ht="18" customHeight="1" thickBot="1" x14ac:dyDescent="0.25">
      <c r="B30" s="174"/>
      <c r="C30" s="5" t="s">
        <v>157</v>
      </c>
      <c r="D30" s="8" t="s">
        <v>173</v>
      </c>
      <c r="E30" s="5" t="s">
        <v>19</v>
      </c>
      <c r="F30" s="6" t="s">
        <v>8</v>
      </c>
      <c r="G30" s="21"/>
      <c r="H30" s="17">
        <f>G13*0.5/15</f>
        <v>13.333333333333334</v>
      </c>
      <c r="I30" s="66">
        <f>ROUNDUP(H30,0)</f>
        <v>14</v>
      </c>
      <c r="J30" s="26" t="s">
        <v>184</v>
      </c>
      <c r="K30" s="39"/>
      <c r="L30" s="39">
        <f t="shared" si="0"/>
        <v>0</v>
      </c>
      <c r="M30" s="174"/>
    </row>
    <row r="31" spans="2:13" ht="17.25" customHeight="1" x14ac:dyDescent="0.2">
      <c r="B31" s="1" t="s">
        <v>204</v>
      </c>
      <c r="K31" s="45" t="s">
        <v>128</v>
      </c>
      <c r="L31" s="48">
        <f>SUM(L17:L30)</f>
        <v>0</v>
      </c>
    </row>
    <row r="32" spans="2:13" ht="17.25" customHeight="1" x14ac:dyDescent="0.2">
      <c r="C32" s="1" t="s">
        <v>47</v>
      </c>
      <c r="K32" s="45" t="s">
        <v>129</v>
      </c>
      <c r="L32" s="48">
        <f>L31/G13</f>
        <v>0</v>
      </c>
      <c r="M32" s="1" t="s">
        <v>182</v>
      </c>
    </row>
  </sheetData>
  <mergeCells count="23">
    <mergeCell ref="M17:M18"/>
    <mergeCell ref="M19:M21"/>
    <mergeCell ref="B25:B30"/>
    <mergeCell ref="G27:H27"/>
    <mergeCell ref="E19:E20"/>
    <mergeCell ref="B17:B18"/>
    <mergeCell ref="B21:C21"/>
    <mergeCell ref="D17:D18"/>
    <mergeCell ref="D19:D21"/>
    <mergeCell ref="M25:M30"/>
    <mergeCell ref="I19:I20"/>
    <mergeCell ref="K19:K20"/>
    <mergeCell ref="L19:L20"/>
    <mergeCell ref="G16:H16"/>
    <mergeCell ref="G19:H19"/>
    <mergeCell ref="G17:H17"/>
    <mergeCell ref="G28:H28"/>
    <mergeCell ref="G24:H24"/>
    <mergeCell ref="G20:H20"/>
    <mergeCell ref="G22:H22"/>
    <mergeCell ref="G21:H21"/>
    <mergeCell ref="G23:H23"/>
    <mergeCell ref="G18:H18"/>
  </mergeCells>
  <phoneticPr fontId="2"/>
  <pageMargins left="0.75" right="0.75" top="1" bottom="1" header="0.51200000000000001" footer="0.51200000000000001"/>
  <pageSetup paperSize="9" orientation="landscape" horizontalDpi="4294967293" verticalDpi="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4:M31"/>
  <sheetViews>
    <sheetView topLeftCell="A16" workbookViewId="0">
      <selection activeCell="H25" sqref="H25"/>
    </sheetView>
  </sheetViews>
  <sheetFormatPr defaultColWidth="9" defaultRowHeight="13.2" x14ac:dyDescent="0.2"/>
  <cols>
    <col min="1" max="1" width="2.6640625" style="1" customWidth="1"/>
    <col min="2" max="2" width="14.109375" style="1" customWidth="1"/>
    <col min="3" max="3" width="17.88671875" style="1" customWidth="1"/>
    <col min="4" max="4" width="29.88671875" style="1" customWidth="1"/>
    <col min="5" max="5" width="24.109375" style="2" customWidth="1"/>
    <col min="6" max="6" width="4.77734375" style="1" customWidth="1"/>
    <col min="7" max="7" width="12.77734375" style="1" customWidth="1"/>
    <col min="8" max="8" width="14.77734375" style="1" customWidth="1"/>
    <col min="9" max="9" width="11.33203125" style="1" customWidth="1"/>
    <col min="10" max="10" width="12.109375" style="1" customWidth="1"/>
    <col min="11" max="11" width="11.88671875" style="1" customWidth="1"/>
    <col min="12" max="12" width="12.88671875" style="1" customWidth="1"/>
    <col min="13" max="13" width="14.77734375" style="1" customWidth="1"/>
    <col min="14" max="16384" width="9" style="1"/>
  </cols>
  <sheetData>
    <row r="4" spans="1:13" ht="18" customHeight="1" x14ac:dyDescent="0.2">
      <c r="B4" s="13" t="s">
        <v>208</v>
      </c>
      <c r="C4" s="14"/>
      <c r="D4" s="14"/>
      <c r="E4" s="15"/>
      <c r="F4" s="14"/>
    </row>
    <row r="5" spans="1:13" ht="18" customHeight="1" thickBot="1" x14ac:dyDescent="0.25">
      <c r="B5" s="47"/>
      <c r="C5" s="14" t="s">
        <v>337</v>
      </c>
      <c r="D5" s="47"/>
    </row>
    <row r="6" spans="1:13" ht="17.25" customHeight="1" x14ac:dyDescent="0.2">
      <c r="A6" s="1" t="s">
        <v>83</v>
      </c>
      <c r="B6" s="1" t="s">
        <v>0</v>
      </c>
      <c r="C6" s="16" t="s">
        <v>59</v>
      </c>
      <c r="F6" s="7" t="s">
        <v>34</v>
      </c>
    </row>
    <row r="7" spans="1:13" ht="21" customHeight="1" x14ac:dyDescent="0.2">
      <c r="D7" s="3" t="s">
        <v>1</v>
      </c>
      <c r="E7" s="4" t="s">
        <v>51</v>
      </c>
      <c r="F7" s="6" t="s">
        <v>52</v>
      </c>
      <c r="G7" s="9">
        <v>300</v>
      </c>
    </row>
    <row r="8" spans="1:13" ht="21" customHeight="1" x14ac:dyDescent="0.2">
      <c r="D8" s="3" t="s">
        <v>2</v>
      </c>
      <c r="E8" s="4" t="s">
        <v>53</v>
      </c>
      <c r="F8" s="6" t="s">
        <v>52</v>
      </c>
      <c r="G8" s="9">
        <v>100</v>
      </c>
    </row>
    <row r="9" spans="1:13" ht="21" customHeight="1" x14ac:dyDescent="0.2">
      <c r="D9" s="3" t="s">
        <v>14</v>
      </c>
      <c r="E9" s="4"/>
      <c r="F9" s="6" t="s">
        <v>16</v>
      </c>
      <c r="G9" s="10">
        <v>0.5</v>
      </c>
    </row>
    <row r="10" spans="1:13" ht="21" customHeight="1" x14ac:dyDescent="0.2">
      <c r="D10" s="3" t="s">
        <v>15</v>
      </c>
      <c r="E10" s="4"/>
      <c r="F10" s="6" t="s">
        <v>16</v>
      </c>
      <c r="G10" s="10">
        <f>G8/G9</f>
        <v>200</v>
      </c>
    </row>
    <row r="11" spans="1:13" ht="21" customHeight="1" x14ac:dyDescent="0.2">
      <c r="D11" s="3" t="s">
        <v>3</v>
      </c>
      <c r="E11" s="4" t="s">
        <v>84</v>
      </c>
      <c r="F11" s="6" t="s">
        <v>85</v>
      </c>
      <c r="G11" s="9"/>
    </row>
    <row r="12" spans="1:13" ht="21" customHeight="1" thickBot="1" x14ac:dyDescent="0.25">
      <c r="D12" s="3" t="s">
        <v>28</v>
      </c>
      <c r="E12" s="4" t="s">
        <v>54</v>
      </c>
      <c r="F12" s="6" t="s">
        <v>55</v>
      </c>
      <c r="G12" s="11">
        <f>G7+G8+G11</f>
        <v>400</v>
      </c>
    </row>
    <row r="13" spans="1:13" ht="13.8" thickBot="1" x14ac:dyDescent="0.25"/>
    <row r="14" spans="1:13" ht="30.75" customHeight="1" x14ac:dyDescent="0.2">
      <c r="A14" s="1" t="s">
        <v>56</v>
      </c>
      <c r="B14" s="1" t="s">
        <v>31</v>
      </c>
      <c r="C14" s="16" t="s">
        <v>36</v>
      </c>
      <c r="E14" s="1"/>
      <c r="F14" s="2"/>
      <c r="G14" s="5" t="s">
        <v>21</v>
      </c>
      <c r="H14" s="6" t="s">
        <v>22</v>
      </c>
      <c r="I14" s="7" t="s">
        <v>35</v>
      </c>
    </row>
    <row r="15" spans="1:13" ht="21" customHeight="1" x14ac:dyDescent="0.2">
      <c r="B15" s="5" t="s">
        <v>12</v>
      </c>
      <c r="C15" s="5" t="s">
        <v>201</v>
      </c>
      <c r="D15" s="5" t="s">
        <v>7</v>
      </c>
      <c r="E15" s="5" t="s">
        <v>20</v>
      </c>
      <c r="F15" s="6"/>
      <c r="G15" s="193"/>
      <c r="H15" s="194"/>
      <c r="I15" s="29" t="s">
        <v>48</v>
      </c>
      <c r="J15" s="26" t="s">
        <v>41</v>
      </c>
      <c r="K15" s="36" t="s">
        <v>127</v>
      </c>
      <c r="L15" s="37" t="s">
        <v>101</v>
      </c>
      <c r="M15" s="5" t="s">
        <v>211</v>
      </c>
    </row>
    <row r="16" spans="1:13" ht="18" customHeight="1" x14ac:dyDescent="0.2">
      <c r="B16" s="173" t="s">
        <v>60</v>
      </c>
      <c r="C16" s="55"/>
      <c r="D16" s="176" t="s">
        <v>174</v>
      </c>
      <c r="E16" s="55" t="s">
        <v>175</v>
      </c>
      <c r="F16" s="6" t="s">
        <v>8</v>
      </c>
      <c r="G16" s="196">
        <f>ROUNDUP(G12/10,0)</f>
        <v>40</v>
      </c>
      <c r="H16" s="197"/>
      <c r="I16" s="63" t="s">
        <v>179</v>
      </c>
      <c r="J16" s="26" t="s">
        <v>61</v>
      </c>
      <c r="K16" s="60"/>
      <c r="L16" s="61" t="s">
        <v>180</v>
      </c>
      <c r="M16" s="173" t="s">
        <v>290</v>
      </c>
    </row>
    <row r="17" spans="2:13" ht="18" customHeight="1" x14ac:dyDescent="0.2">
      <c r="B17" s="174"/>
      <c r="C17" s="55"/>
      <c r="D17" s="177"/>
      <c r="E17" s="147" t="s">
        <v>292</v>
      </c>
      <c r="F17" s="143" t="s">
        <v>288</v>
      </c>
      <c r="G17" s="198">
        <f>ROUNDUP(G12*0.2/10,0)</f>
        <v>8</v>
      </c>
      <c r="H17" s="199"/>
      <c r="I17" s="148">
        <f>G17</f>
        <v>8</v>
      </c>
      <c r="J17" s="26" t="s">
        <v>61</v>
      </c>
      <c r="K17" s="141"/>
      <c r="L17" s="39">
        <f>I17*K17</f>
        <v>0</v>
      </c>
      <c r="M17" s="174"/>
    </row>
    <row r="18" spans="2:13" ht="18" customHeight="1" x14ac:dyDescent="0.2">
      <c r="B18" s="68" t="s">
        <v>9</v>
      </c>
      <c r="C18" s="5"/>
      <c r="D18" s="176" t="s">
        <v>24</v>
      </c>
      <c r="E18" s="175" t="s">
        <v>168</v>
      </c>
      <c r="F18" s="6" t="s">
        <v>8</v>
      </c>
      <c r="G18" s="191">
        <f>G12*2/18</f>
        <v>44.444444444444443</v>
      </c>
      <c r="H18" s="195"/>
      <c r="I18" s="184">
        <f>ROUNDUP(G18+G19,0)</f>
        <v>47</v>
      </c>
      <c r="J18" s="69" t="s">
        <v>297</v>
      </c>
      <c r="K18" s="178"/>
      <c r="L18" s="178">
        <f>I18*K18</f>
        <v>0</v>
      </c>
      <c r="M18" s="175" t="s">
        <v>290</v>
      </c>
    </row>
    <row r="19" spans="2:13" ht="18" customHeight="1" x14ac:dyDescent="0.2">
      <c r="B19" s="68" t="s">
        <v>23</v>
      </c>
      <c r="C19" s="5"/>
      <c r="D19" s="183"/>
      <c r="E19" s="175"/>
      <c r="F19" s="6" t="s">
        <v>8</v>
      </c>
      <c r="G19" s="191">
        <f>G10*0.2*1/18</f>
        <v>2.2222222222222223</v>
      </c>
      <c r="H19" s="195"/>
      <c r="I19" s="184"/>
      <c r="J19" s="26" t="s">
        <v>73</v>
      </c>
      <c r="K19" s="179"/>
      <c r="L19" s="179"/>
      <c r="M19" s="175"/>
    </row>
    <row r="20" spans="2:13" ht="18" customHeight="1" x14ac:dyDescent="0.2">
      <c r="B20" s="188" t="s">
        <v>287</v>
      </c>
      <c r="C20" s="189"/>
      <c r="D20" s="177"/>
      <c r="E20" s="144" t="s">
        <v>286</v>
      </c>
      <c r="F20" s="6" t="s">
        <v>288</v>
      </c>
      <c r="G20" s="191">
        <f>(G18+G19)/23*18</f>
        <v>36.521739130434774</v>
      </c>
      <c r="H20" s="192"/>
      <c r="I20" s="145">
        <f>ROUNDUP(G20,0)</f>
        <v>37</v>
      </c>
      <c r="J20" s="26"/>
      <c r="K20" s="141"/>
      <c r="L20" s="39">
        <f>I20*K20</f>
        <v>0</v>
      </c>
      <c r="M20" s="175"/>
    </row>
    <row r="21" spans="2:13" ht="18" customHeight="1" x14ac:dyDescent="0.2">
      <c r="B21" s="68" t="s">
        <v>91</v>
      </c>
      <c r="C21" s="67"/>
      <c r="D21" s="18" t="s">
        <v>95</v>
      </c>
      <c r="E21" s="5" t="s">
        <v>171</v>
      </c>
      <c r="F21" s="6" t="s">
        <v>8</v>
      </c>
      <c r="G21" s="191">
        <f>(G11+G7)*0.8/15</f>
        <v>16</v>
      </c>
      <c r="H21" s="195"/>
      <c r="I21" s="59">
        <f>ROUNDUP(G21,0)</f>
        <v>16</v>
      </c>
      <c r="J21" s="26" t="s">
        <v>96</v>
      </c>
      <c r="K21" s="39"/>
      <c r="L21" s="39">
        <f t="shared" ref="L21:L29" si="0">I21*K21</f>
        <v>0</v>
      </c>
      <c r="M21" s="5" t="s">
        <v>212</v>
      </c>
    </row>
    <row r="22" spans="2:13" ht="18" customHeight="1" x14ac:dyDescent="0.2">
      <c r="B22" s="68" t="s">
        <v>10</v>
      </c>
      <c r="C22" s="5"/>
      <c r="D22" s="8" t="s">
        <v>33</v>
      </c>
      <c r="E22" s="5" t="s">
        <v>17</v>
      </c>
      <c r="F22" s="6" t="s">
        <v>13</v>
      </c>
      <c r="G22" s="191">
        <f>G12*1.1/100</f>
        <v>4.4000000000000004</v>
      </c>
      <c r="H22" s="195"/>
      <c r="I22" s="65">
        <f>ROUNDUP(G22,0)</f>
        <v>5</v>
      </c>
      <c r="J22" s="26" t="s">
        <v>57</v>
      </c>
      <c r="K22" s="39"/>
      <c r="L22" s="39">
        <f t="shared" si="0"/>
        <v>0</v>
      </c>
      <c r="M22" s="3"/>
    </row>
    <row r="23" spans="2:13" ht="18" customHeight="1" x14ac:dyDescent="0.2">
      <c r="B23" s="68" t="s">
        <v>11</v>
      </c>
      <c r="C23" s="5"/>
      <c r="D23" s="8" t="s">
        <v>32</v>
      </c>
      <c r="E23" s="5" t="s">
        <v>17</v>
      </c>
      <c r="F23" s="6" t="s">
        <v>13</v>
      </c>
      <c r="G23" s="193">
        <f>G10*1.1/100</f>
        <v>2.2000000000000002</v>
      </c>
      <c r="H23" s="194"/>
      <c r="I23" s="65">
        <f>ROUNDUP(G23,0)</f>
        <v>3</v>
      </c>
      <c r="J23" s="26" t="s">
        <v>58</v>
      </c>
      <c r="K23" s="39"/>
      <c r="L23" s="39">
        <f t="shared" si="0"/>
        <v>0</v>
      </c>
      <c r="M23" s="3"/>
    </row>
    <row r="24" spans="2:13" ht="18" customHeight="1" x14ac:dyDescent="0.2">
      <c r="B24" s="175" t="s">
        <v>200</v>
      </c>
      <c r="C24" s="5" t="s">
        <v>202</v>
      </c>
      <c r="D24" s="8" t="s">
        <v>87</v>
      </c>
      <c r="E24" s="5" t="s">
        <v>18</v>
      </c>
      <c r="F24" s="6" t="s">
        <v>8</v>
      </c>
      <c r="G24" s="19">
        <f>G12*1/20</f>
        <v>20</v>
      </c>
      <c r="H24" s="20"/>
      <c r="I24" s="65">
        <f>ROUNDUP(G24,0)</f>
        <v>20</v>
      </c>
      <c r="J24" s="26" t="s">
        <v>88</v>
      </c>
      <c r="K24" s="39"/>
      <c r="L24" s="39">
        <f t="shared" si="0"/>
        <v>0</v>
      </c>
      <c r="M24" s="173" t="s">
        <v>172</v>
      </c>
    </row>
    <row r="25" spans="2:13" ht="18" customHeight="1" thickBot="1" x14ac:dyDescent="0.25">
      <c r="B25" s="175"/>
      <c r="C25" s="5" t="s">
        <v>203</v>
      </c>
      <c r="D25" s="8" t="s">
        <v>89</v>
      </c>
      <c r="E25" s="5" t="s">
        <v>19</v>
      </c>
      <c r="F25" s="6" t="s">
        <v>8</v>
      </c>
      <c r="G25" s="21"/>
      <c r="H25" s="17">
        <f>G12*0.3/15</f>
        <v>8</v>
      </c>
      <c r="I25" s="66">
        <f>ROUNDUP(H25,0)</f>
        <v>8</v>
      </c>
      <c r="J25" s="26" t="s">
        <v>90</v>
      </c>
      <c r="K25" s="39"/>
      <c r="L25" s="39">
        <f t="shared" si="0"/>
        <v>0</v>
      </c>
      <c r="M25" s="190"/>
    </row>
    <row r="26" spans="2:13" ht="18" customHeight="1" thickBot="1" x14ac:dyDescent="0.25">
      <c r="B26" s="175"/>
      <c r="C26" s="5" t="s">
        <v>270</v>
      </c>
      <c r="D26" s="8" t="s">
        <v>271</v>
      </c>
      <c r="E26" s="5" t="s">
        <v>18</v>
      </c>
      <c r="F26" s="6" t="s">
        <v>8</v>
      </c>
      <c r="G26" s="191">
        <f>G12*0.5/20</f>
        <v>10</v>
      </c>
      <c r="H26" s="192"/>
      <c r="I26" s="52">
        <f>ROUNDUP(G26,0)</f>
        <v>10</v>
      </c>
      <c r="J26" s="26" t="s">
        <v>184</v>
      </c>
      <c r="K26" s="39"/>
      <c r="L26" s="39"/>
      <c r="M26" s="190"/>
    </row>
    <row r="27" spans="2:13" ht="18" customHeight="1" thickBot="1" x14ac:dyDescent="0.25">
      <c r="B27" s="175"/>
      <c r="C27" s="5" t="s">
        <v>272</v>
      </c>
      <c r="D27" s="8" t="s">
        <v>273</v>
      </c>
      <c r="E27" s="5" t="s">
        <v>18</v>
      </c>
      <c r="F27" s="6" t="s">
        <v>8</v>
      </c>
      <c r="G27" s="191">
        <f>G12*0.8/20</f>
        <v>16</v>
      </c>
      <c r="H27" s="192"/>
      <c r="I27" s="52">
        <f>ROUNDUP(G27,0)</f>
        <v>16</v>
      </c>
      <c r="J27" s="26" t="s">
        <v>274</v>
      </c>
      <c r="K27" s="39"/>
      <c r="L27" s="39"/>
      <c r="M27" s="190"/>
    </row>
    <row r="28" spans="2:13" ht="18" customHeight="1" x14ac:dyDescent="0.2">
      <c r="B28" s="175"/>
      <c r="C28" s="5" t="s">
        <v>156</v>
      </c>
      <c r="D28" s="8" t="s">
        <v>170</v>
      </c>
      <c r="E28" s="5" t="s">
        <v>18</v>
      </c>
      <c r="F28" s="6" t="s">
        <v>8</v>
      </c>
      <c r="G28" s="19">
        <f>G12*1/20</f>
        <v>20</v>
      </c>
      <c r="H28" s="20"/>
      <c r="I28" s="65">
        <f>ROUNDUP(G28,0)</f>
        <v>20</v>
      </c>
      <c r="J28" s="26" t="s">
        <v>88</v>
      </c>
      <c r="K28" s="39"/>
      <c r="L28" s="39">
        <f t="shared" si="0"/>
        <v>0</v>
      </c>
      <c r="M28" s="190"/>
    </row>
    <row r="29" spans="2:13" ht="18" customHeight="1" thickBot="1" x14ac:dyDescent="0.25">
      <c r="B29" s="175"/>
      <c r="C29" s="5" t="s">
        <v>157</v>
      </c>
      <c r="D29" s="8" t="s">
        <v>173</v>
      </c>
      <c r="E29" s="5" t="s">
        <v>19</v>
      </c>
      <c r="F29" s="6" t="s">
        <v>8</v>
      </c>
      <c r="G29" s="21"/>
      <c r="H29" s="17">
        <f>G12*0.5/15</f>
        <v>13.333333333333334</v>
      </c>
      <c r="I29" s="66">
        <f>ROUNDUP(H29,0)</f>
        <v>14</v>
      </c>
      <c r="J29" s="26" t="s">
        <v>199</v>
      </c>
      <c r="K29" s="39"/>
      <c r="L29" s="39">
        <f t="shared" si="0"/>
        <v>0</v>
      </c>
      <c r="M29" s="174"/>
    </row>
    <row r="30" spans="2:13" ht="17.25" customHeight="1" x14ac:dyDescent="0.2">
      <c r="B30" s="1" t="s">
        <v>204</v>
      </c>
      <c r="K30" s="45" t="s">
        <v>128</v>
      </c>
      <c r="L30" s="48">
        <f>SUM(L16:L29)</f>
        <v>0</v>
      </c>
    </row>
    <row r="31" spans="2:13" ht="17.25" customHeight="1" x14ac:dyDescent="0.2">
      <c r="C31" s="1" t="s">
        <v>47</v>
      </c>
      <c r="K31" s="45" t="s">
        <v>129</v>
      </c>
      <c r="L31" s="48">
        <f>L30/G12</f>
        <v>0</v>
      </c>
      <c r="M31" s="1" t="s">
        <v>182</v>
      </c>
    </row>
  </sheetData>
  <mergeCells count="23">
    <mergeCell ref="B24:B29"/>
    <mergeCell ref="G26:H26"/>
    <mergeCell ref="G21:H21"/>
    <mergeCell ref="G22:H22"/>
    <mergeCell ref="G15:H15"/>
    <mergeCell ref="G18:H18"/>
    <mergeCell ref="G16:H16"/>
    <mergeCell ref="D18:D20"/>
    <mergeCell ref="G20:H20"/>
    <mergeCell ref="B16:B17"/>
    <mergeCell ref="D16:D17"/>
    <mergeCell ref="B20:C20"/>
    <mergeCell ref="E18:E19"/>
    <mergeCell ref="G23:H23"/>
    <mergeCell ref="G19:H19"/>
    <mergeCell ref="M24:M29"/>
    <mergeCell ref="I18:I19"/>
    <mergeCell ref="K18:K19"/>
    <mergeCell ref="M16:M17"/>
    <mergeCell ref="G17:H17"/>
    <mergeCell ref="G27:H27"/>
    <mergeCell ref="M18:M20"/>
    <mergeCell ref="L18:L19"/>
  </mergeCells>
  <phoneticPr fontId="2"/>
  <pageMargins left="0.75" right="0.75" top="1" bottom="1" header="0.51200000000000001" footer="0.51200000000000001"/>
  <pageSetup paperSize="9" orientation="landscape" horizontalDpi="4294967293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</vt:i4>
      </vt:variant>
    </vt:vector>
  </HeadingPairs>
  <TitlesOfParts>
    <vt:vector size="20" baseType="lpstr">
      <vt:lpstr>変更記録</vt:lpstr>
      <vt:lpstr>使用法</vt:lpstr>
      <vt:lpstr>保護2kg</vt:lpstr>
      <vt:lpstr>保護4.2kg</vt:lpstr>
      <vt:lpstr>保護断熱2kg</vt:lpstr>
      <vt:lpstr>保護断熱4.2kg</vt:lpstr>
      <vt:lpstr>露出密着2kg</vt:lpstr>
      <vt:lpstr>露出密着 4kg</vt:lpstr>
      <vt:lpstr>露出絶縁2kg</vt:lpstr>
      <vt:lpstr>露出絶縁4kg</vt:lpstr>
      <vt:lpstr>砂付きｱｽﾌｧﾙﾄ改修</vt:lpstr>
      <vt:lpstr>地下防水2kg</vt:lpstr>
      <vt:lpstr>地下防水6.5kg</vt:lpstr>
      <vt:lpstr>金属屋根 (遮熱) </vt:lpstr>
      <vt:lpstr>金属屋根(硅砂）</vt:lpstr>
      <vt:lpstr>金属屋根(高耐久）</vt:lpstr>
      <vt:lpstr>金属屋根(高耐久遮熱）</vt:lpstr>
      <vt:lpstr>シングル回復</vt:lpstr>
      <vt:lpstr>床版橋面(土木）</vt:lpstr>
      <vt:lpstr>露出密着2kg!Print_Area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05ナルファルトWP防水材料計算書</dc:title>
  <dc:creator>成瀬化学大阪営業所石原</dc:creator>
  <cp:lastModifiedBy>晃樹 竜田</cp:lastModifiedBy>
  <cp:lastPrinted>2015-07-02T06:55:12Z</cp:lastPrinted>
  <dcterms:created xsi:type="dcterms:W3CDTF">1997-01-08T22:48:59Z</dcterms:created>
  <dcterms:modified xsi:type="dcterms:W3CDTF">2024-12-24T23:45:56Z</dcterms:modified>
</cp:coreProperties>
</file>